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central.local\CENTRAL\310本社\本社03\社員_本社03\社員_保全企画本部\社員_交通Ｔ\社員_交通Ｔ_共通\■事故車排除業務■\★事故車等排除 公募手続関係 中間検査　ＨＰ掲載内容\★公募手続【H30～34】\☆改正案\☆要領等改正案 - 2\"/>
    </mc:Choice>
  </mc:AlternateContent>
  <bookViews>
    <workbookView xWindow="0" yWindow="0" windowWidth="28800" windowHeight="12345"/>
  </bookViews>
  <sheets>
    <sheet name="別紙2-1出動実績報告表" sheetId="1" r:id="rId1"/>
    <sheet name="出動実績報告表 (記載例・記入番号一覧表)" sheetId="2" r:id="rId2"/>
    <sheet name="別紙2-2故障等統計表" sheetId="3" r:id="rId3"/>
  </sheets>
  <definedNames>
    <definedName name="_xlnm.Print_Area" localSheetId="1">'出動実績報告表 (記載例・記入番号一覧表)'!$A$1:$U$45</definedName>
    <definedName name="_xlnm.Print_Titles" localSheetId="0">'別紙2-1出動実績報告表'!$1:$10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3" l="1"/>
  <c r="S44" i="3"/>
  <c r="R44" i="3"/>
  <c r="Q44" i="3"/>
  <c r="P44" i="3"/>
  <c r="O44" i="3"/>
  <c r="N44" i="3"/>
  <c r="M44" i="3"/>
  <c r="L44" i="3"/>
  <c r="K44" i="3"/>
  <c r="J44" i="3"/>
  <c r="I44" i="3"/>
  <c r="H44" i="3"/>
  <c r="G44" i="3"/>
  <c r="F44" i="3"/>
  <c r="E44" i="3"/>
  <c r="S41" i="3"/>
  <c r="S40" i="3"/>
  <c r="S39" i="3"/>
  <c r="S38" i="3"/>
  <c r="S37" i="3"/>
  <c r="S36" i="3"/>
  <c r="S35" i="3"/>
  <c r="S34" i="3"/>
  <c r="S33" i="3"/>
  <c r="S32" i="3"/>
  <c r="S31" i="3"/>
  <c r="S30" i="3"/>
  <c r="S29" i="3"/>
  <c r="S28" i="3"/>
  <c r="S27" i="3"/>
  <c r="S26" i="3"/>
  <c r="S25" i="3"/>
  <c r="S24" i="3"/>
  <c r="S23" i="3"/>
  <c r="S22" i="3"/>
  <c r="S21" i="3"/>
  <c r="S20" i="3"/>
  <c r="S19" i="3"/>
  <c r="S18" i="3"/>
  <c r="S17" i="3"/>
  <c r="S16" i="3"/>
  <c r="S15" i="3"/>
  <c r="S14" i="3"/>
  <c r="S13" i="3"/>
  <c r="S12" i="3"/>
  <c r="S11" i="3"/>
  <c r="R41" i="3"/>
  <c r="R40" i="3"/>
  <c r="R39" i="3"/>
  <c r="R38" i="3"/>
  <c r="R37" i="3"/>
  <c r="R36" i="3"/>
  <c r="R35" i="3"/>
  <c r="R34" i="3"/>
  <c r="R33" i="3"/>
  <c r="R32" i="3"/>
  <c r="R31" i="3"/>
  <c r="R30" i="3"/>
  <c r="R29" i="3"/>
  <c r="R28" i="3"/>
  <c r="R27" i="3"/>
  <c r="R26" i="3"/>
  <c r="R25" i="3"/>
  <c r="R24" i="3"/>
  <c r="R23" i="3"/>
  <c r="R22" i="3"/>
  <c r="R21" i="3"/>
  <c r="R20" i="3"/>
  <c r="R19" i="3"/>
  <c r="R18" i="3"/>
  <c r="R17" i="3"/>
  <c r="R16" i="3"/>
  <c r="R15" i="3"/>
  <c r="R14" i="3"/>
  <c r="R13" i="3"/>
  <c r="R12" i="3"/>
  <c r="R11" i="3"/>
  <c r="Q41" i="3"/>
  <c r="Q40" i="3"/>
  <c r="Q39" i="3"/>
  <c r="Q38" i="3"/>
  <c r="Q37" i="3"/>
  <c r="Q36" i="3"/>
  <c r="Q35" i="3"/>
  <c r="Q34" i="3"/>
  <c r="Q33" i="3"/>
  <c r="Q32" i="3"/>
  <c r="Q31" i="3"/>
  <c r="Q30" i="3"/>
  <c r="Q29" i="3"/>
  <c r="Q28" i="3"/>
  <c r="Q27" i="3"/>
  <c r="Q26" i="3"/>
  <c r="Q25" i="3"/>
  <c r="Q24" i="3"/>
  <c r="Q23" i="3"/>
  <c r="Q22" i="3"/>
  <c r="Q21" i="3"/>
  <c r="Q20" i="3"/>
  <c r="Q19" i="3"/>
  <c r="Q18" i="3"/>
  <c r="Q17" i="3"/>
  <c r="Q16" i="3"/>
  <c r="Q15" i="3"/>
  <c r="Q14" i="3"/>
  <c r="Q13" i="3"/>
  <c r="Q12" i="3"/>
  <c r="Q11" i="3"/>
  <c r="P41" i="3"/>
  <c r="O41" i="3"/>
  <c r="N41" i="3"/>
  <c r="M41" i="3"/>
  <c r="P40" i="3"/>
  <c r="O40" i="3"/>
  <c r="N40" i="3"/>
  <c r="M40" i="3"/>
  <c r="P39" i="3"/>
  <c r="O39" i="3"/>
  <c r="N39" i="3"/>
  <c r="M39" i="3"/>
  <c r="P38" i="3"/>
  <c r="O38" i="3"/>
  <c r="N38" i="3"/>
  <c r="M38" i="3"/>
  <c r="P37" i="3"/>
  <c r="O37" i="3"/>
  <c r="N37" i="3"/>
  <c r="M37" i="3"/>
  <c r="P36" i="3"/>
  <c r="O36" i="3"/>
  <c r="N36" i="3"/>
  <c r="M36" i="3"/>
  <c r="P35" i="3"/>
  <c r="O35" i="3"/>
  <c r="N35" i="3"/>
  <c r="M35" i="3"/>
  <c r="P34" i="3"/>
  <c r="O34" i="3"/>
  <c r="N34" i="3"/>
  <c r="M34" i="3"/>
  <c r="P33" i="3"/>
  <c r="O33" i="3"/>
  <c r="N33" i="3"/>
  <c r="M33" i="3"/>
  <c r="P32" i="3"/>
  <c r="O32" i="3"/>
  <c r="N32" i="3"/>
  <c r="M32" i="3"/>
  <c r="P31" i="3"/>
  <c r="O31" i="3"/>
  <c r="N31" i="3"/>
  <c r="M31" i="3"/>
  <c r="P30" i="3"/>
  <c r="O30" i="3"/>
  <c r="N30" i="3"/>
  <c r="M30" i="3"/>
  <c r="P29" i="3"/>
  <c r="O29" i="3"/>
  <c r="N29" i="3"/>
  <c r="M29" i="3"/>
  <c r="P28" i="3"/>
  <c r="O28" i="3"/>
  <c r="N28" i="3"/>
  <c r="M28" i="3"/>
  <c r="P27" i="3"/>
  <c r="O27" i="3"/>
  <c r="N27" i="3"/>
  <c r="M27" i="3"/>
  <c r="P26" i="3"/>
  <c r="O26" i="3"/>
  <c r="N26" i="3"/>
  <c r="M26" i="3"/>
  <c r="P25" i="3"/>
  <c r="O25" i="3"/>
  <c r="N25" i="3"/>
  <c r="M25" i="3"/>
  <c r="P24" i="3"/>
  <c r="O24" i="3"/>
  <c r="N24" i="3"/>
  <c r="M24" i="3"/>
  <c r="P23" i="3"/>
  <c r="O23" i="3"/>
  <c r="N23" i="3"/>
  <c r="M23" i="3"/>
  <c r="P22" i="3"/>
  <c r="O22" i="3"/>
  <c r="N22" i="3"/>
  <c r="M22" i="3"/>
  <c r="P21" i="3"/>
  <c r="O21" i="3"/>
  <c r="N21" i="3"/>
  <c r="M21" i="3"/>
  <c r="P20" i="3"/>
  <c r="O20" i="3"/>
  <c r="N20" i="3"/>
  <c r="M20" i="3"/>
  <c r="P19" i="3"/>
  <c r="O19" i="3"/>
  <c r="N19" i="3"/>
  <c r="M19" i="3"/>
  <c r="P18" i="3"/>
  <c r="O18" i="3"/>
  <c r="N18" i="3"/>
  <c r="M18" i="3"/>
  <c r="P17" i="3"/>
  <c r="O17" i="3"/>
  <c r="N17" i="3"/>
  <c r="M17" i="3"/>
  <c r="P16" i="3"/>
  <c r="O16" i="3"/>
  <c r="N16" i="3"/>
  <c r="M16" i="3"/>
  <c r="P15" i="3"/>
  <c r="O15" i="3"/>
  <c r="N15" i="3"/>
  <c r="M15" i="3"/>
  <c r="P14" i="3"/>
  <c r="O14" i="3"/>
  <c r="N14" i="3"/>
  <c r="M14" i="3"/>
  <c r="P13" i="3"/>
  <c r="O13" i="3"/>
  <c r="N13" i="3"/>
  <c r="M13" i="3"/>
  <c r="P12" i="3"/>
  <c r="O12" i="3"/>
  <c r="N12" i="3"/>
  <c r="M12" i="3"/>
  <c r="P11" i="3"/>
  <c r="O11" i="3"/>
  <c r="N11" i="3"/>
  <c r="M11" i="3"/>
  <c r="L41" i="3"/>
  <c r="K41" i="3"/>
  <c r="J41" i="3"/>
  <c r="L40" i="3"/>
  <c r="K40" i="3"/>
  <c r="J40" i="3"/>
  <c r="L39" i="3"/>
  <c r="K39" i="3"/>
  <c r="J39" i="3"/>
  <c r="L38" i="3"/>
  <c r="K38" i="3"/>
  <c r="J38" i="3"/>
  <c r="L37" i="3"/>
  <c r="K37" i="3"/>
  <c r="J37" i="3"/>
  <c r="L36" i="3"/>
  <c r="K36" i="3"/>
  <c r="J36" i="3"/>
  <c r="L35" i="3"/>
  <c r="K35" i="3"/>
  <c r="J35" i="3"/>
  <c r="L34" i="3"/>
  <c r="K34" i="3"/>
  <c r="J34" i="3"/>
  <c r="L33" i="3"/>
  <c r="K33" i="3"/>
  <c r="J33" i="3"/>
  <c r="L32" i="3"/>
  <c r="K32" i="3"/>
  <c r="J32" i="3"/>
  <c r="L31" i="3"/>
  <c r="K31" i="3"/>
  <c r="J31" i="3"/>
  <c r="L30" i="3"/>
  <c r="K30" i="3"/>
  <c r="J30" i="3"/>
  <c r="L29" i="3"/>
  <c r="K29" i="3"/>
  <c r="J29" i="3"/>
  <c r="L28" i="3"/>
  <c r="K28" i="3"/>
  <c r="J28" i="3"/>
  <c r="L27" i="3"/>
  <c r="K27" i="3"/>
  <c r="J27" i="3"/>
  <c r="L26" i="3"/>
  <c r="K26" i="3"/>
  <c r="J26" i="3"/>
  <c r="L25" i="3"/>
  <c r="K25" i="3"/>
  <c r="J25" i="3"/>
  <c r="L24" i="3"/>
  <c r="K24" i="3"/>
  <c r="J24" i="3"/>
  <c r="L23" i="3"/>
  <c r="K23" i="3"/>
  <c r="J23" i="3"/>
  <c r="L22" i="3"/>
  <c r="K22" i="3"/>
  <c r="J22" i="3"/>
  <c r="L21" i="3"/>
  <c r="K21" i="3"/>
  <c r="J21" i="3"/>
  <c r="L20" i="3"/>
  <c r="K20" i="3"/>
  <c r="J20" i="3"/>
  <c r="L19" i="3"/>
  <c r="K19" i="3"/>
  <c r="J19" i="3"/>
  <c r="L18" i="3"/>
  <c r="K18" i="3"/>
  <c r="J18" i="3"/>
  <c r="L17" i="3"/>
  <c r="K17" i="3"/>
  <c r="J17" i="3"/>
  <c r="L16" i="3"/>
  <c r="K16" i="3"/>
  <c r="J16" i="3"/>
  <c r="L15" i="3"/>
  <c r="K15" i="3"/>
  <c r="J15" i="3"/>
  <c r="L14" i="3"/>
  <c r="K14" i="3"/>
  <c r="J14" i="3"/>
  <c r="L13" i="3"/>
  <c r="K13" i="3"/>
  <c r="J13" i="3"/>
  <c r="L12" i="3"/>
  <c r="K12" i="3"/>
  <c r="J12" i="3"/>
  <c r="L11" i="3"/>
  <c r="K11" i="3"/>
  <c r="J11" i="3"/>
  <c r="I41" i="3"/>
  <c r="H41" i="3"/>
  <c r="I40" i="3"/>
  <c r="H40" i="3"/>
  <c r="I39" i="3"/>
  <c r="H39" i="3"/>
  <c r="I38" i="3"/>
  <c r="H38" i="3"/>
  <c r="I37" i="3"/>
  <c r="H37" i="3"/>
  <c r="I36" i="3"/>
  <c r="H36" i="3"/>
  <c r="I35" i="3"/>
  <c r="H35" i="3"/>
  <c r="I34" i="3"/>
  <c r="H34" i="3"/>
  <c r="I33" i="3"/>
  <c r="H33" i="3"/>
  <c r="I32" i="3"/>
  <c r="H32" i="3"/>
  <c r="I31" i="3"/>
  <c r="H31" i="3"/>
  <c r="I30" i="3"/>
  <c r="H30" i="3"/>
  <c r="I29" i="3"/>
  <c r="H29" i="3"/>
  <c r="I28" i="3"/>
  <c r="H28" i="3"/>
  <c r="I27" i="3"/>
  <c r="H27" i="3"/>
  <c r="I26" i="3"/>
  <c r="H26" i="3"/>
  <c r="I25" i="3"/>
  <c r="H25" i="3"/>
  <c r="I24" i="3"/>
  <c r="H24" i="3"/>
  <c r="I23" i="3"/>
  <c r="H23" i="3"/>
  <c r="I22" i="3"/>
  <c r="H22" i="3"/>
  <c r="I21" i="3"/>
  <c r="H21" i="3"/>
  <c r="I20" i="3"/>
  <c r="H20" i="3"/>
  <c r="I19" i="3"/>
  <c r="H19" i="3"/>
  <c r="I18" i="3"/>
  <c r="H18" i="3"/>
  <c r="I17" i="3"/>
  <c r="H17" i="3"/>
  <c r="I16" i="3"/>
  <c r="H16" i="3"/>
  <c r="I15" i="3"/>
  <c r="H15" i="3"/>
  <c r="I14" i="3"/>
  <c r="H14" i="3"/>
  <c r="I13" i="3"/>
  <c r="H13" i="3"/>
  <c r="I12" i="3"/>
  <c r="H12" i="3"/>
  <c r="I11" i="3"/>
  <c r="H11" i="3"/>
  <c r="G41" i="3"/>
  <c r="G40" i="3"/>
  <c r="G39" i="3"/>
  <c r="G38" i="3"/>
  <c r="G37" i="3"/>
  <c r="G36" i="3"/>
  <c r="G35" i="3"/>
  <c r="G34" i="3"/>
  <c r="G33" i="3"/>
  <c r="G32" i="3"/>
  <c r="G31" i="3"/>
  <c r="G30" i="3"/>
  <c r="G29" i="3"/>
  <c r="G28" i="3"/>
  <c r="G27" i="3"/>
  <c r="G26" i="3"/>
  <c r="G25" i="3"/>
  <c r="G24" i="3"/>
  <c r="G23" i="3"/>
  <c r="G22" i="3"/>
  <c r="G21" i="3"/>
  <c r="G20" i="3"/>
  <c r="G19" i="3"/>
  <c r="G18" i="3"/>
  <c r="G17" i="3"/>
  <c r="G16" i="3"/>
  <c r="G15" i="3"/>
  <c r="G14" i="3"/>
  <c r="G13" i="3"/>
  <c r="G12" i="3"/>
  <c r="G11" i="3"/>
  <c r="F41" i="3"/>
  <c r="F40" i="3"/>
  <c r="F39" i="3"/>
  <c r="F38" i="3"/>
  <c r="F37" i="3"/>
  <c r="F36" i="3"/>
  <c r="F35" i="3"/>
  <c r="F34" i="3"/>
  <c r="F33" i="3"/>
  <c r="F32" i="3"/>
  <c r="F31" i="3"/>
  <c r="F30" i="3"/>
  <c r="F29" i="3"/>
  <c r="F28" i="3"/>
  <c r="F27" i="3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F12" i="3"/>
  <c r="F11" i="3"/>
  <c r="E30" i="3"/>
  <c r="E41" i="3"/>
  <c r="E40" i="3"/>
  <c r="E39" i="3"/>
  <c r="E38" i="3"/>
  <c r="E37" i="3"/>
  <c r="E36" i="3"/>
  <c r="E35" i="3"/>
  <c r="E34" i="3"/>
  <c r="E33" i="3"/>
  <c r="E32" i="3"/>
  <c r="E31" i="3"/>
  <c r="E29" i="3"/>
  <c r="E17" i="3"/>
  <c r="E22" i="3"/>
  <c r="E28" i="3"/>
  <c r="E27" i="3"/>
  <c r="E26" i="3"/>
  <c r="E25" i="3"/>
  <c r="E24" i="3"/>
  <c r="E23" i="3"/>
  <c r="E21" i="3"/>
  <c r="E20" i="3"/>
  <c r="E19" i="3"/>
  <c r="E18" i="3"/>
  <c r="E16" i="3"/>
  <c r="E15" i="3"/>
  <c r="E14" i="3"/>
  <c r="E13" i="3"/>
  <c r="E12" i="3"/>
  <c r="F5" i="3"/>
  <c r="A5" i="3"/>
  <c r="A3" i="3"/>
  <c r="T44" i="3" l="1"/>
  <c r="T21" i="3"/>
  <c r="T37" i="3"/>
  <c r="N42" i="3"/>
  <c r="N46" i="3" s="1"/>
  <c r="T24" i="3"/>
  <c r="T31" i="3"/>
  <c r="T39" i="3"/>
  <c r="T17" i="3"/>
  <c r="T12" i="3"/>
  <c r="T14" i="3"/>
  <c r="T25" i="3"/>
  <c r="T19" i="3"/>
  <c r="T28" i="3"/>
  <c r="T35" i="3"/>
  <c r="T11" i="3"/>
  <c r="T20" i="3"/>
  <c r="T22" i="3"/>
  <c r="T36" i="3"/>
  <c r="T13" i="3"/>
  <c r="T23" i="3"/>
  <c r="T29" i="3"/>
  <c r="T38" i="3"/>
  <c r="T40" i="3"/>
  <c r="Q42" i="3"/>
  <c r="Q46" i="3" s="1"/>
  <c r="T15" i="3"/>
  <c r="T32" i="3"/>
  <c r="T16" i="3"/>
  <c r="T26" i="3"/>
  <c r="T33" i="3"/>
  <c r="T41" i="3"/>
  <c r="L42" i="3"/>
  <c r="L46" i="3" s="1"/>
  <c r="T18" i="3"/>
  <c r="T27" i="3"/>
  <c r="T34" i="3"/>
  <c r="T30" i="3"/>
  <c r="F42" i="3"/>
  <c r="F46" i="3" s="1"/>
  <c r="O42" i="3"/>
  <c r="O46" i="3" s="1"/>
  <c r="S42" i="3"/>
  <c r="S46" i="3" s="1"/>
  <c r="J42" i="3"/>
  <c r="J46" i="3" s="1"/>
  <c r="P42" i="3"/>
  <c r="P46" i="3" s="1"/>
  <c r="R42" i="3"/>
  <c r="R46" i="3" s="1"/>
  <c r="K42" i="3"/>
  <c r="K46" i="3" s="1"/>
  <c r="H42" i="3"/>
  <c r="H46" i="3" s="1"/>
  <c r="I42" i="3"/>
  <c r="I46" i="3" s="1"/>
  <c r="G42" i="3"/>
  <c r="G46" i="3" s="1"/>
  <c r="M42" i="3"/>
  <c r="M46" i="3" s="1"/>
  <c r="E42" i="3"/>
  <c r="T42" i="3" l="1"/>
  <c r="T46" i="3" s="1"/>
  <c r="E46" i="3"/>
</calcChain>
</file>

<file path=xl/sharedStrings.xml><?xml version="1.0" encoding="utf-8"?>
<sst xmlns="http://schemas.openxmlformats.org/spreadsheetml/2006/main" count="295" uniqueCount="221">
  <si>
    <t>（協定締結会社名）</t>
    <rPh sb="1" eb="3">
      <t>キョウテイ</t>
    </rPh>
    <rPh sb="3" eb="5">
      <t>テイケツ</t>
    </rPh>
    <rPh sb="5" eb="8">
      <t>カイシャメイ</t>
    </rPh>
    <phoneticPr fontId="2"/>
  </si>
  <si>
    <t>●●レッカー株式会社</t>
    <rPh sb="6" eb="8">
      <t>カブシキ</t>
    </rPh>
    <rPh sb="8" eb="10">
      <t>カイシャ</t>
    </rPh>
    <phoneticPr fontId="2"/>
  </si>
  <si>
    <t>（担当保全・サービスセンター名）</t>
    <rPh sb="1" eb="3">
      <t>タントウ</t>
    </rPh>
    <rPh sb="3" eb="5">
      <t>ホゼン</t>
    </rPh>
    <rPh sb="14" eb="15">
      <t>メイ</t>
    </rPh>
    <phoneticPr fontId="2"/>
  </si>
  <si>
    <t>（路線名）</t>
    <rPh sb="1" eb="3">
      <t>ロセン</t>
    </rPh>
    <rPh sb="3" eb="4">
      <t>メイ</t>
    </rPh>
    <phoneticPr fontId="2"/>
  </si>
  <si>
    <t>■■自動車道</t>
    <rPh sb="2" eb="5">
      <t>ジドウシャ</t>
    </rPh>
    <rPh sb="5" eb="6">
      <t>ドウ</t>
    </rPh>
    <phoneticPr fontId="2"/>
  </si>
  <si>
    <t>No.</t>
    <phoneticPr fontId="2"/>
  </si>
  <si>
    <t>日時</t>
    <rPh sb="0" eb="2">
      <t>ニチジ</t>
    </rPh>
    <phoneticPr fontId="2"/>
  </si>
  <si>
    <t>要請元</t>
    <rPh sb="0" eb="2">
      <t>ヨウセイ</t>
    </rPh>
    <rPh sb="2" eb="3">
      <t>モト</t>
    </rPh>
    <phoneticPr fontId="2"/>
  </si>
  <si>
    <t>停止場所</t>
    <rPh sb="0" eb="2">
      <t>テイシ</t>
    </rPh>
    <rPh sb="2" eb="4">
      <t>バショ</t>
    </rPh>
    <phoneticPr fontId="2"/>
  </si>
  <si>
    <t>車種</t>
    <rPh sb="0" eb="2">
      <t>シャシュ</t>
    </rPh>
    <phoneticPr fontId="2"/>
  </si>
  <si>
    <t>故障の場合の主たる原因</t>
    <rPh sb="0" eb="2">
      <t>コショウ</t>
    </rPh>
    <rPh sb="3" eb="5">
      <t>バアイ</t>
    </rPh>
    <rPh sb="6" eb="7">
      <t>シュ</t>
    </rPh>
    <rPh sb="9" eb="11">
      <t>ゲンイン</t>
    </rPh>
    <phoneticPr fontId="2"/>
  </si>
  <si>
    <t>料金
（円・税込）</t>
    <rPh sb="0" eb="2">
      <t>リョウキン</t>
    </rPh>
    <rPh sb="4" eb="5">
      <t>エン</t>
    </rPh>
    <rPh sb="6" eb="8">
      <t>ゼイコミ</t>
    </rPh>
    <phoneticPr fontId="2"/>
  </si>
  <si>
    <t>年</t>
    <rPh sb="0" eb="1">
      <t>ネン</t>
    </rPh>
    <phoneticPr fontId="2"/>
  </si>
  <si>
    <t>月</t>
    <rPh sb="0" eb="1">
      <t>ゲツ</t>
    </rPh>
    <phoneticPr fontId="2"/>
  </si>
  <si>
    <t>日</t>
    <rPh sb="0" eb="1">
      <t>ニチ</t>
    </rPh>
    <phoneticPr fontId="2"/>
  </si>
  <si>
    <t>曜日</t>
    <rPh sb="0" eb="2">
      <t>ヨウビ</t>
    </rPh>
    <phoneticPr fontId="2"/>
  </si>
  <si>
    <t>上下</t>
    <rPh sb="0" eb="2">
      <t>ジョウゲ</t>
    </rPh>
    <phoneticPr fontId="2"/>
  </si>
  <si>
    <r>
      <t xml:space="preserve">施設名称
</t>
    </r>
    <r>
      <rPr>
        <sz val="6"/>
        <color theme="1"/>
        <rFont val="ＭＳ Ｐゴシック"/>
        <family val="3"/>
        <charset val="128"/>
        <scheme val="minor"/>
      </rPr>
      <t>（本線以外の場合）</t>
    </r>
    <rPh sb="0" eb="2">
      <t>シセツ</t>
    </rPh>
    <rPh sb="2" eb="4">
      <t>メイショウ</t>
    </rPh>
    <phoneticPr fontId="2"/>
  </si>
  <si>
    <t>kp/mp</t>
    <phoneticPr fontId="2"/>
  </si>
  <si>
    <t>大分類</t>
    <rPh sb="0" eb="3">
      <t>ダイブンルイ</t>
    </rPh>
    <phoneticPr fontId="2"/>
  </si>
  <si>
    <t>小分類</t>
    <rPh sb="0" eb="1">
      <t>ショウ</t>
    </rPh>
    <rPh sb="1" eb="3">
      <t>ブンルイ</t>
    </rPh>
    <phoneticPr fontId="2"/>
  </si>
  <si>
    <t>中分類</t>
    <rPh sb="0" eb="3">
      <t>チュウブンルイ</t>
    </rPh>
    <phoneticPr fontId="2"/>
  </si>
  <si>
    <t>小分類</t>
    <rPh sb="0" eb="3">
      <t>ショウブンルイ</t>
    </rPh>
    <phoneticPr fontId="2"/>
  </si>
  <si>
    <t>例</t>
    <rPh sb="0" eb="1">
      <t>レイ</t>
    </rPh>
    <phoneticPr fontId="2"/>
  </si>
  <si>
    <t>土</t>
    <rPh sb="0" eb="1">
      <t>ド</t>
    </rPh>
    <phoneticPr fontId="2"/>
  </si>
  <si>
    <t>記入番号</t>
    <rPh sb="0" eb="2">
      <t>キニュウ</t>
    </rPh>
    <rPh sb="2" eb="4">
      <t>バンゴウ</t>
    </rPh>
    <phoneticPr fontId="2"/>
  </si>
  <si>
    <t>1：NEXCO道路管制センター</t>
    <rPh sb="7" eb="9">
      <t>ドウロ</t>
    </rPh>
    <rPh sb="9" eb="11">
      <t>カンセイ</t>
    </rPh>
    <phoneticPr fontId="2"/>
  </si>
  <si>
    <t>1：上り</t>
    <rPh sb="2" eb="3">
      <t>ノボ</t>
    </rPh>
    <phoneticPr fontId="2"/>
  </si>
  <si>
    <t>1：バス類</t>
    <rPh sb="4" eb="5">
      <t>ルイ</t>
    </rPh>
    <phoneticPr fontId="2"/>
  </si>
  <si>
    <t>1：マイクロバス</t>
  </si>
  <si>
    <t>1：事故</t>
    <rPh sb="2" eb="4">
      <t>ジコ</t>
    </rPh>
    <phoneticPr fontId="2"/>
  </si>
  <si>
    <t>1：エンジン</t>
  </si>
  <si>
    <t>1：冷却装置</t>
  </si>
  <si>
    <t>1：ウォータポンプ</t>
  </si>
  <si>
    <t>2：損保会社・ﾛｰﾄﾞｱｼｽﾀﾝｽ会社</t>
    <rPh sb="2" eb="4">
      <t>ソンポ</t>
    </rPh>
    <rPh sb="4" eb="6">
      <t>カイシャ</t>
    </rPh>
    <rPh sb="17" eb="19">
      <t>カイシャ</t>
    </rPh>
    <phoneticPr fontId="2"/>
  </si>
  <si>
    <t>2：下り</t>
    <rPh sb="2" eb="3">
      <t>クダ</t>
    </rPh>
    <phoneticPr fontId="2"/>
  </si>
  <si>
    <t>2：路線バス</t>
    <rPh sb="2" eb="4">
      <t>ロセン</t>
    </rPh>
    <phoneticPr fontId="2"/>
  </si>
  <si>
    <t>2：故障</t>
    <rPh sb="2" eb="4">
      <t>コショウ</t>
    </rPh>
    <phoneticPr fontId="2"/>
  </si>
  <si>
    <t>2：ファンベルト</t>
  </si>
  <si>
    <t>3：事故・故障当事者本人</t>
    <rPh sb="2" eb="4">
      <t>ジコ</t>
    </rPh>
    <rPh sb="5" eb="7">
      <t>コショウ</t>
    </rPh>
    <rPh sb="7" eb="10">
      <t>トウジシャ</t>
    </rPh>
    <rPh sb="10" eb="12">
      <t>ホンニン</t>
    </rPh>
    <phoneticPr fontId="2"/>
  </si>
  <si>
    <t>3：内回り</t>
    <rPh sb="2" eb="4">
      <t>ウチマワ</t>
    </rPh>
    <phoneticPr fontId="2"/>
  </si>
  <si>
    <t>3：その他バス</t>
    <rPh sb="4" eb="5">
      <t>タ</t>
    </rPh>
    <phoneticPr fontId="2"/>
  </si>
  <si>
    <t>3：ホース類</t>
  </si>
  <si>
    <t>9：その他</t>
    <rPh sb="4" eb="5">
      <t>タ</t>
    </rPh>
    <phoneticPr fontId="2"/>
  </si>
  <si>
    <t>4：外回り</t>
    <rPh sb="2" eb="4">
      <t>ソトマワ</t>
    </rPh>
    <phoneticPr fontId="2"/>
  </si>
  <si>
    <t>2：乗用</t>
    <rPh sb="2" eb="4">
      <t>ジョウヨウ</t>
    </rPh>
    <phoneticPr fontId="2"/>
  </si>
  <si>
    <t>1：乗用</t>
    <rPh sb="2" eb="4">
      <t>ジョウヨウ</t>
    </rPh>
    <phoneticPr fontId="2"/>
  </si>
  <si>
    <t>4：水不足・水漏れ</t>
  </si>
  <si>
    <t>9：区分なし</t>
    <rPh sb="2" eb="4">
      <t>クブン</t>
    </rPh>
    <phoneticPr fontId="2"/>
  </si>
  <si>
    <t>2：軽乗用</t>
    <rPh sb="2" eb="3">
      <t>ケイ</t>
    </rPh>
    <rPh sb="3" eb="5">
      <t>ジョウヨウ</t>
    </rPh>
    <phoneticPr fontId="2"/>
  </si>
  <si>
    <t>9：その他</t>
  </si>
  <si>
    <t>3：小貨物</t>
    <rPh sb="2" eb="3">
      <t>ショウ</t>
    </rPh>
    <rPh sb="3" eb="5">
      <t>カモツ</t>
    </rPh>
    <phoneticPr fontId="2"/>
  </si>
  <si>
    <t>1：軽貨物</t>
    <rPh sb="2" eb="3">
      <t>ケイ</t>
    </rPh>
    <rPh sb="3" eb="5">
      <t>カモツ</t>
    </rPh>
    <phoneticPr fontId="2"/>
  </si>
  <si>
    <t>2：潤滑系統</t>
  </si>
  <si>
    <t>1：オイル不足</t>
  </si>
  <si>
    <t>2：小型貨物</t>
    <rPh sb="2" eb="4">
      <t>コガタ</t>
    </rPh>
    <rPh sb="4" eb="6">
      <t>カモツ</t>
    </rPh>
    <phoneticPr fontId="2"/>
  </si>
  <si>
    <t>3：貨客兼用</t>
    <rPh sb="2" eb="3">
      <t>カ</t>
    </rPh>
    <rPh sb="3" eb="4">
      <t>キャク</t>
    </rPh>
    <rPh sb="4" eb="6">
      <t>ケンヨウ</t>
    </rPh>
    <phoneticPr fontId="2"/>
  </si>
  <si>
    <t>3：燃料系統</t>
  </si>
  <si>
    <t>1：気化器・噴射ポンプ</t>
  </si>
  <si>
    <t>4：普貨類</t>
    <rPh sb="2" eb="3">
      <t>フ</t>
    </rPh>
    <rPh sb="3" eb="4">
      <t>カ</t>
    </rPh>
    <rPh sb="4" eb="5">
      <t>ルイ</t>
    </rPh>
    <phoneticPr fontId="2"/>
  </si>
  <si>
    <t>1：普通貨物</t>
    <rPh sb="2" eb="4">
      <t>フツウ</t>
    </rPh>
    <rPh sb="4" eb="6">
      <t>カモツ</t>
    </rPh>
    <phoneticPr fontId="2"/>
  </si>
  <si>
    <t>2：アクセル機構</t>
  </si>
  <si>
    <t>2：大型貨物</t>
    <rPh sb="2" eb="4">
      <t>オオガタ</t>
    </rPh>
    <rPh sb="4" eb="6">
      <t>カモツ</t>
    </rPh>
    <phoneticPr fontId="2"/>
  </si>
  <si>
    <t>3：パイプ類</t>
  </si>
  <si>
    <t>3：特大車</t>
    <rPh sb="2" eb="4">
      <t>トクダイ</t>
    </rPh>
    <rPh sb="4" eb="5">
      <t>シャ</t>
    </rPh>
    <phoneticPr fontId="2"/>
  </si>
  <si>
    <t>4：燃料切れ</t>
  </si>
  <si>
    <t>4：大型特殊</t>
    <rPh sb="2" eb="4">
      <t>オオガタ</t>
    </rPh>
    <rPh sb="4" eb="6">
      <t>トクシュ</t>
    </rPh>
    <phoneticPr fontId="2"/>
  </si>
  <si>
    <t>5：二輪車</t>
    <rPh sb="2" eb="5">
      <t>ニリンシャ</t>
    </rPh>
    <phoneticPr fontId="2"/>
  </si>
  <si>
    <t>1：自動二輪</t>
    <rPh sb="2" eb="4">
      <t>ジドウ</t>
    </rPh>
    <rPh sb="4" eb="6">
      <t>ニリン</t>
    </rPh>
    <phoneticPr fontId="2"/>
  </si>
  <si>
    <t>4：電気系統</t>
    <rPh sb="2" eb="4">
      <t>デンキ</t>
    </rPh>
    <rPh sb="4" eb="6">
      <t>ケイトウ</t>
    </rPh>
    <phoneticPr fontId="2"/>
  </si>
  <si>
    <t>1：点火プラグ</t>
  </si>
  <si>
    <t>2：ディストリピューター</t>
  </si>
  <si>
    <t>0：不明</t>
    <rPh sb="2" eb="4">
      <t>フメイ</t>
    </rPh>
    <phoneticPr fontId="2"/>
  </si>
  <si>
    <t>3：発電機（レギレターを含む）</t>
  </si>
  <si>
    <t>4：スターター（リレーを含む）</t>
  </si>
  <si>
    <t>5：バッテリー</t>
  </si>
  <si>
    <t>2：シャーシ及び車体</t>
  </si>
  <si>
    <t>1：走行装置</t>
  </si>
  <si>
    <t>1：クラッチ</t>
  </si>
  <si>
    <t>2：変速機</t>
  </si>
  <si>
    <t>3：プロペラシャフト</t>
  </si>
  <si>
    <t>4：デフレンシャル</t>
  </si>
  <si>
    <t>5：タイヤ</t>
  </si>
  <si>
    <t>6：車輪</t>
  </si>
  <si>
    <t>1：操行装置</t>
  </si>
  <si>
    <t>2：ブレーキ</t>
  </si>
  <si>
    <t>3：ランプ類</t>
  </si>
  <si>
    <t>4：配線</t>
  </si>
  <si>
    <t>0：発見できず</t>
    <rPh sb="2" eb="4">
      <t>ハッケン</t>
    </rPh>
    <phoneticPr fontId="2"/>
  </si>
  <si>
    <t>備考
（「その他」選択した場合の内容等）</t>
    <rPh sb="0" eb="2">
      <t>ビコウ</t>
    </rPh>
    <rPh sb="7" eb="8">
      <t>タ</t>
    </rPh>
    <rPh sb="9" eb="11">
      <t>センタク</t>
    </rPh>
    <rPh sb="13" eb="15">
      <t>バアイ</t>
    </rPh>
    <rPh sb="16" eb="18">
      <t>ナイヨウ</t>
    </rPh>
    <rPh sb="18" eb="19">
      <t>トウ</t>
    </rPh>
    <phoneticPr fontId="2"/>
  </si>
  <si>
    <t>記入例</t>
    <rPh sb="0" eb="2">
      <t>キニュウ</t>
    </rPh>
    <rPh sb="2" eb="3">
      <t>レイ</t>
    </rPh>
    <phoneticPr fontId="2"/>
  </si>
  <si>
    <t>●●IC</t>
    <phoneticPr fontId="2"/>
  </si>
  <si>
    <t>▲▲JCT</t>
    <phoneticPr fontId="2"/>
  </si>
  <si>
    <t>■■SA</t>
    <phoneticPr fontId="2"/>
  </si>
  <si>
    <t>■■PA</t>
    <phoneticPr fontId="2"/>
  </si>
  <si>
    <t>出動時刻</t>
    <rPh sb="0" eb="2">
      <t>シュツドウ</t>
    </rPh>
    <rPh sb="2" eb="4">
      <t>ジコク</t>
    </rPh>
    <phoneticPr fontId="2"/>
  </si>
  <si>
    <t>現着時刻</t>
    <rPh sb="0" eb="2">
      <t>ゲンチャク</t>
    </rPh>
    <rPh sb="2" eb="4">
      <t>ジコク</t>
    </rPh>
    <phoneticPr fontId="2"/>
  </si>
  <si>
    <t>離脱時刻</t>
    <rPh sb="0" eb="2">
      <t>リダツ</t>
    </rPh>
    <rPh sb="2" eb="4">
      <t>ジコク</t>
    </rPh>
    <phoneticPr fontId="2"/>
  </si>
  <si>
    <t>事故/故障</t>
    <rPh sb="0" eb="2">
      <t>ジコ</t>
    </rPh>
    <rPh sb="3" eb="5">
      <t>コショウ</t>
    </rPh>
    <phoneticPr fontId="2"/>
  </si>
  <si>
    <t>▲▲保全・サービスセンター</t>
    <phoneticPr fontId="2"/>
  </si>
  <si>
    <t>●●IC</t>
    <phoneticPr fontId="2"/>
  </si>
  <si>
    <t>C-360</t>
    <phoneticPr fontId="2"/>
  </si>
  <si>
    <t>出動実績報告表 (記載例・記入番号一覧表)</t>
    <rPh sb="0" eb="2">
      <t>シュツドウ</t>
    </rPh>
    <rPh sb="2" eb="4">
      <t>ジッセキ</t>
    </rPh>
    <rPh sb="4" eb="6">
      <t>ホウコク</t>
    </rPh>
    <rPh sb="6" eb="7">
      <t>ヒョウ</t>
    </rPh>
    <rPh sb="9" eb="11">
      <t>キサイ</t>
    </rPh>
    <rPh sb="11" eb="12">
      <t>レイ</t>
    </rPh>
    <rPh sb="13" eb="15">
      <t>キニュウ</t>
    </rPh>
    <rPh sb="15" eb="17">
      <t>バンゴウ</t>
    </rPh>
    <rPh sb="17" eb="19">
      <t>イチラン</t>
    </rPh>
    <rPh sb="19" eb="20">
      <t>ヒョウ</t>
    </rPh>
    <phoneticPr fontId="2"/>
  </si>
  <si>
    <t>道路管制センターの要請により、
大型貨物車の故障（燃料切れ）対応を
行った場合の記載例</t>
    <rPh sb="0" eb="2">
      <t>ドウロ</t>
    </rPh>
    <rPh sb="2" eb="4">
      <t>カンセイ</t>
    </rPh>
    <rPh sb="9" eb="11">
      <t>ヨウセイ</t>
    </rPh>
    <rPh sb="16" eb="18">
      <t>オオガタ</t>
    </rPh>
    <rPh sb="18" eb="21">
      <t>カモツシャ</t>
    </rPh>
    <rPh sb="22" eb="24">
      <t>コショウ</t>
    </rPh>
    <rPh sb="25" eb="27">
      <t>ネンリョウ</t>
    </rPh>
    <rPh sb="27" eb="28">
      <t>ギ</t>
    </rPh>
    <rPh sb="30" eb="32">
      <t>タイオウ</t>
    </rPh>
    <rPh sb="34" eb="35">
      <t>オコナ</t>
    </rPh>
    <rPh sb="37" eb="39">
      <t>バアイ</t>
    </rPh>
    <rPh sb="40" eb="42">
      <t>キサイ</t>
    </rPh>
    <rPh sb="42" eb="43">
      <t>レイ</t>
    </rPh>
    <phoneticPr fontId="2"/>
  </si>
  <si>
    <t>事故当事者本人の要請により、
普通自動車の事故対応を
行った場合の記載例</t>
    <rPh sb="0" eb="2">
      <t>ジコ</t>
    </rPh>
    <rPh sb="2" eb="5">
      <t>トウジシャ</t>
    </rPh>
    <rPh sb="5" eb="7">
      <t>ホンニン</t>
    </rPh>
    <rPh sb="8" eb="10">
      <t>ヨウセイ</t>
    </rPh>
    <rPh sb="15" eb="17">
      <t>フツウ</t>
    </rPh>
    <rPh sb="17" eb="20">
      <t>ジドウシャ</t>
    </rPh>
    <rPh sb="21" eb="23">
      <t>ジコ</t>
    </rPh>
    <rPh sb="23" eb="25">
      <t>タイオウ</t>
    </rPh>
    <rPh sb="27" eb="28">
      <t>オコナ</t>
    </rPh>
    <rPh sb="30" eb="32">
      <t>バアイ</t>
    </rPh>
    <rPh sb="33" eb="35">
      <t>キサイ</t>
    </rPh>
    <rPh sb="35" eb="36">
      <t>レイ</t>
    </rPh>
    <phoneticPr fontId="2"/>
  </si>
  <si>
    <t>※路線ごとに作成し、当該路線におけるすべての出動実績を記載してください</t>
    <rPh sb="1" eb="3">
      <t>ロセン</t>
    </rPh>
    <rPh sb="6" eb="8">
      <t>サクセイ</t>
    </rPh>
    <rPh sb="10" eb="12">
      <t>トウガイ</t>
    </rPh>
    <rPh sb="12" eb="14">
      <t>ロセン</t>
    </rPh>
    <rPh sb="22" eb="24">
      <t>シュツドウ</t>
    </rPh>
    <rPh sb="24" eb="26">
      <t>ジッセキ</t>
    </rPh>
    <rPh sb="27" eb="29">
      <t>キサイ</t>
    </rPh>
    <phoneticPr fontId="2"/>
  </si>
  <si>
    <t>車両移動の有無</t>
    <rPh sb="0" eb="2">
      <t>シャリョウ</t>
    </rPh>
    <rPh sb="2" eb="4">
      <t>イドウ</t>
    </rPh>
    <rPh sb="5" eb="7">
      <t>ウム</t>
    </rPh>
    <phoneticPr fontId="2"/>
  </si>
  <si>
    <t>1：車両移動（積載）</t>
    <rPh sb="2" eb="4">
      <t>シャリョウ</t>
    </rPh>
    <rPh sb="4" eb="6">
      <t>イドウ</t>
    </rPh>
    <rPh sb="7" eb="9">
      <t>セキサイ</t>
    </rPh>
    <phoneticPr fontId="2"/>
  </si>
  <si>
    <t>2：車両移動（けん引）</t>
    <rPh sb="2" eb="4">
      <t>シャリョウ</t>
    </rPh>
    <rPh sb="4" eb="6">
      <t>イドウ</t>
    </rPh>
    <rPh sb="9" eb="10">
      <t>イン</t>
    </rPh>
    <phoneticPr fontId="2"/>
  </si>
  <si>
    <t>3：移動なし（修理等のみ）</t>
    <rPh sb="2" eb="4">
      <t>イドウ</t>
    </rPh>
    <rPh sb="7" eb="9">
      <t>シュウリ</t>
    </rPh>
    <rPh sb="9" eb="10">
      <t>トウ</t>
    </rPh>
    <phoneticPr fontId="2"/>
  </si>
  <si>
    <t>（区間）</t>
    <rPh sb="1" eb="3">
      <t>クカン</t>
    </rPh>
    <phoneticPr fontId="11"/>
  </si>
  <si>
    <t>車  種</t>
  </si>
  <si>
    <t>バ  ス  類</t>
  </si>
  <si>
    <t>乗   用</t>
  </si>
  <si>
    <t>小  貨  物</t>
  </si>
  <si>
    <t>普  貨  類</t>
  </si>
  <si>
    <t>二輪車</t>
  </si>
  <si>
    <t>マロ</t>
  </si>
  <si>
    <t>路バ</t>
  </si>
  <si>
    <t>そバ</t>
  </si>
  <si>
    <t>乗</t>
  </si>
  <si>
    <t>軽</t>
  </si>
  <si>
    <t>小貨</t>
  </si>
  <si>
    <t>貨兼</t>
  </si>
  <si>
    <t>普貨</t>
  </si>
  <si>
    <t>大貨</t>
  </si>
  <si>
    <t>特</t>
  </si>
  <si>
    <t>大特</t>
  </si>
  <si>
    <t>自二</t>
  </si>
  <si>
    <t>そ</t>
  </si>
  <si>
    <t>不</t>
  </si>
  <si>
    <t>計</t>
  </si>
  <si>
    <t>イバ</t>
  </si>
  <si>
    <t>貨</t>
  </si>
  <si>
    <t>大</t>
  </si>
  <si>
    <t>の</t>
  </si>
  <si>
    <t>件数</t>
  </si>
  <si>
    <t>構成比</t>
  </si>
  <si>
    <t>故障等原因別</t>
    <rPh sb="0" eb="2">
      <t>コショウ</t>
    </rPh>
    <rPh sb="2" eb="3">
      <t>トウ</t>
    </rPh>
    <phoneticPr fontId="11"/>
  </si>
  <si>
    <t>クス</t>
  </si>
  <si>
    <t>線ス</t>
  </si>
  <si>
    <t>他ス</t>
  </si>
  <si>
    <t>用</t>
  </si>
  <si>
    <t>物</t>
  </si>
  <si>
    <t>型物</t>
  </si>
  <si>
    <t>客用</t>
  </si>
  <si>
    <t>通物</t>
  </si>
  <si>
    <t>車</t>
  </si>
  <si>
    <t>型殊</t>
  </si>
  <si>
    <t>動輪</t>
  </si>
  <si>
    <t>他</t>
  </si>
  <si>
    <t>明</t>
  </si>
  <si>
    <t>(%)</t>
  </si>
  <si>
    <t>冷</t>
  </si>
  <si>
    <t>ｳｵｰﾀｰﾎﾟﾝﾌﾟ</t>
  </si>
  <si>
    <t>却</t>
  </si>
  <si>
    <t>ﾌｧﾝﾍﾞﾙﾄ</t>
  </si>
  <si>
    <t>装</t>
  </si>
  <si>
    <t>ﾎｰｽ類</t>
  </si>
  <si>
    <t>エ</t>
  </si>
  <si>
    <t>置</t>
  </si>
  <si>
    <t>水不足・水漏れ</t>
  </si>
  <si>
    <t>その他</t>
  </si>
  <si>
    <t>潤系</t>
  </si>
  <si>
    <t>ｵｲﾙ不足</t>
  </si>
  <si>
    <t>滑統</t>
  </si>
  <si>
    <t>ン</t>
  </si>
  <si>
    <t>燃</t>
  </si>
  <si>
    <t>気化器・噴射ﾎﾟﾝﾌﾟ</t>
  </si>
  <si>
    <t>料</t>
  </si>
  <si>
    <t>ｱｸｾﾙ機構</t>
  </si>
  <si>
    <t>系</t>
  </si>
  <si>
    <t>ﾊﾟｲﾌﾟ類</t>
  </si>
  <si>
    <t>統</t>
  </si>
  <si>
    <t>燃料切れ</t>
  </si>
  <si>
    <t>ジ</t>
  </si>
  <si>
    <t>点火ﾌﾟﾗｸﾞ</t>
  </si>
  <si>
    <t>ﾃﾞｲｽﾄﾘｰﾋﾞｭｰﾀｰ</t>
  </si>
  <si>
    <t>ジ電</t>
  </si>
  <si>
    <t>発電機(ﾚｷﾞｭﾚｰﾀｰを含む)</t>
  </si>
  <si>
    <t>故</t>
    <rPh sb="0" eb="1">
      <t>ユエ</t>
    </rPh>
    <phoneticPr fontId="11"/>
  </si>
  <si>
    <t>ン気</t>
    <rPh sb="1" eb="2">
      <t>キ</t>
    </rPh>
    <phoneticPr fontId="11"/>
  </si>
  <si>
    <t>ｽﾀｰﾀｰ</t>
  </si>
  <si>
    <t xml:space="preserve">   系</t>
    <phoneticPr fontId="11"/>
  </si>
  <si>
    <t>ﾊﾞｯﾃﾘｰ</t>
  </si>
  <si>
    <t>障</t>
    <rPh sb="0" eb="1">
      <t>サワ</t>
    </rPh>
    <phoneticPr fontId="11"/>
  </si>
  <si>
    <t xml:space="preserve">   統</t>
    <phoneticPr fontId="11"/>
  </si>
  <si>
    <t>そ        の        他</t>
  </si>
  <si>
    <t>ｸﾗｯﾁ</t>
  </si>
  <si>
    <t>走</t>
  </si>
  <si>
    <t>変速機</t>
  </si>
  <si>
    <t>シ</t>
  </si>
  <si>
    <t>行</t>
  </si>
  <si>
    <t>ﾌﾟﾛﾍﾟﾗｼｬﾌﾄ</t>
  </si>
  <si>
    <t>ﾔ</t>
  </si>
  <si>
    <t>ﾃﾞﾌﾚﾝｼｬﾙ</t>
  </si>
  <si>
    <t>｜</t>
  </si>
  <si>
    <t>ﾀｲﾔ</t>
  </si>
  <si>
    <t>車輪</t>
  </si>
  <si>
    <t>及</t>
  </si>
  <si>
    <t>び</t>
  </si>
  <si>
    <t>操行装置</t>
  </si>
  <si>
    <t>ﾌﾞﾚｰｷ</t>
  </si>
  <si>
    <t>体</t>
  </si>
  <si>
    <t>ﾗﾝﾌﾟ類</t>
  </si>
  <si>
    <t>配線</t>
  </si>
  <si>
    <t>故障計</t>
    <rPh sb="0" eb="2">
      <t>コショウ</t>
    </rPh>
    <rPh sb="2" eb="3">
      <t>ケイ</t>
    </rPh>
    <phoneticPr fontId="11"/>
  </si>
  <si>
    <t>構成比(%)</t>
  </si>
  <si>
    <t>事</t>
    <rPh sb="0" eb="1">
      <t>コト</t>
    </rPh>
    <phoneticPr fontId="11"/>
  </si>
  <si>
    <t>事故計</t>
    <rPh sb="0" eb="2">
      <t>ジコ</t>
    </rPh>
    <rPh sb="2" eb="3">
      <t>ケイ</t>
    </rPh>
    <phoneticPr fontId="11"/>
  </si>
  <si>
    <t>故障・事故</t>
    <rPh sb="0" eb="2">
      <t>コショウ</t>
    </rPh>
    <rPh sb="3" eb="5">
      <t>ジコ</t>
    </rPh>
    <phoneticPr fontId="11"/>
  </si>
  <si>
    <t>総計</t>
    <rPh sb="0" eb="2">
      <t>ソウケイ</t>
    </rPh>
    <phoneticPr fontId="11"/>
  </si>
  <si>
    <t>（注１）</t>
    <rPh sb="1" eb="2">
      <t>チュウ</t>
    </rPh>
    <phoneticPr fontId="11"/>
  </si>
  <si>
    <t>対応した車両１台を１件として計上してください。</t>
    <rPh sb="0" eb="2">
      <t>タイオウ</t>
    </rPh>
    <rPh sb="4" eb="6">
      <t>シャリョウ</t>
    </rPh>
    <rPh sb="7" eb="8">
      <t>ダイ</t>
    </rPh>
    <rPh sb="10" eb="11">
      <t>ケン</t>
    </rPh>
    <rPh sb="14" eb="16">
      <t>ケイジョウ</t>
    </rPh>
    <phoneticPr fontId="11"/>
  </si>
  <si>
    <t>（注２）</t>
    <rPh sb="1" eb="2">
      <t>チュウ</t>
    </rPh>
    <phoneticPr fontId="11"/>
  </si>
  <si>
    <t>出動理由（故障又は事故）別に計上し、故障・事故の両方で計上しないよう注意してください。（事故の場合は、原因別に分ける必要はありませんので一括して計上してください。）</t>
    <rPh sb="0" eb="2">
      <t>シュツドウ</t>
    </rPh>
    <rPh sb="2" eb="4">
      <t>リユウ</t>
    </rPh>
    <rPh sb="5" eb="7">
      <t>コショウ</t>
    </rPh>
    <rPh sb="7" eb="8">
      <t>マタ</t>
    </rPh>
    <rPh sb="9" eb="11">
      <t>ジコ</t>
    </rPh>
    <rPh sb="12" eb="13">
      <t>ベツ</t>
    </rPh>
    <rPh sb="14" eb="16">
      <t>ケイジョウ</t>
    </rPh>
    <rPh sb="18" eb="20">
      <t>コショウ</t>
    </rPh>
    <rPh sb="21" eb="23">
      <t>ジコ</t>
    </rPh>
    <rPh sb="24" eb="26">
      <t>リョウホウ</t>
    </rPh>
    <rPh sb="27" eb="29">
      <t>ケイジョウ</t>
    </rPh>
    <rPh sb="34" eb="36">
      <t>チュウイ</t>
    </rPh>
    <rPh sb="44" eb="46">
      <t>ジコ</t>
    </rPh>
    <rPh sb="47" eb="49">
      <t>バアイ</t>
    </rPh>
    <rPh sb="51" eb="53">
      <t>ゲンイン</t>
    </rPh>
    <rPh sb="53" eb="54">
      <t>ベツ</t>
    </rPh>
    <rPh sb="55" eb="56">
      <t>ワ</t>
    </rPh>
    <rPh sb="58" eb="60">
      <t>ヒツヨウ</t>
    </rPh>
    <rPh sb="68" eb="70">
      <t>イッカツ</t>
    </rPh>
    <rPh sb="72" eb="74">
      <t>ケイジョウ</t>
    </rPh>
    <phoneticPr fontId="11"/>
  </si>
  <si>
    <t>（注３）</t>
    <rPh sb="1" eb="2">
      <t>チュウ</t>
    </rPh>
    <phoneticPr fontId="11"/>
  </si>
  <si>
    <t>故障の原因別に計上する場合は、「主たる故障原因」のところに計上し、対応した１台が複数計上しないよう注意してください。</t>
    <rPh sb="0" eb="2">
      <t>コショウ</t>
    </rPh>
    <rPh sb="3" eb="5">
      <t>ゲンイン</t>
    </rPh>
    <rPh sb="5" eb="6">
      <t>ベツ</t>
    </rPh>
    <rPh sb="7" eb="9">
      <t>ケイジョウ</t>
    </rPh>
    <rPh sb="11" eb="13">
      <t>バアイ</t>
    </rPh>
    <rPh sb="16" eb="17">
      <t>シュ</t>
    </rPh>
    <rPh sb="19" eb="21">
      <t>コショウ</t>
    </rPh>
    <rPh sb="21" eb="23">
      <t>ゲンイン</t>
    </rPh>
    <rPh sb="29" eb="31">
      <t>ケイジョウ</t>
    </rPh>
    <rPh sb="33" eb="35">
      <t>タイオウ</t>
    </rPh>
    <rPh sb="38" eb="39">
      <t>ダイ</t>
    </rPh>
    <rPh sb="40" eb="42">
      <t>フクスウ</t>
    </rPh>
    <rPh sb="42" eb="44">
      <t>ケイジョウ</t>
    </rPh>
    <rPh sb="49" eb="51">
      <t>チュウイ</t>
    </rPh>
    <phoneticPr fontId="11"/>
  </si>
  <si>
    <t xml:space="preserve">  の</t>
    <phoneticPr fontId="2"/>
  </si>
  <si>
    <t>別紙2-1　出動実績報告表（　　　　年度）</t>
    <rPh sb="0" eb="2">
      <t>ベッシ</t>
    </rPh>
    <rPh sb="6" eb="8">
      <t>シュツドウ</t>
    </rPh>
    <rPh sb="8" eb="10">
      <t>ジッセキ</t>
    </rPh>
    <rPh sb="10" eb="12">
      <t>ホウコク</t>
    </rPh>
    <rPh sb="12" eb="13">
      <t>ヒョウ</t>
    </rPh>
    <rPh sb="18" eb="20">
      <t>ネンド</t>
    </rPh>
    <phoneticPr fontId="2"/>
  </si>
  <si>
    <t>別紙2-2　故障等統計表(　　      年度)</t>
    <rPh sb="0" eb="2">
      <t>ベッシ</t>
    </rPh>
    <rPh sb="8" eb="9">
      <t>トウ</t>
    </rPh>
    <rPh sb="21" eb="23">
      <t>ネンド</t>
    </rPh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</si>
</sst>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"/>
  </numFmts>
  <fonts count="15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z val="11"/>
      <color rgb="FF0000FF"/>
      <name val="ＭＳ Ｐゴシック"/>
      <family val="2"/>
      <scheme val="minor"/>
    </font>
    <font>
      <sz val="11"/>
      <color rgb="FF0000FF"/>
      <name val="ＭＳ Ｐゴシック"/>
      <family val="3"/>
      <charset val="128"/>
      <scheme val="minor"/>
    </font>
    <font>
      <sz val="14"/>
      <color theme="1"/>
      <name val="ＭＳ Ｐゴシック"/>
      <family val="2"/>
      <scheme val="minor"/>
    </font>
    <font>
      <sz val="11"/>
      <color theme="5" tint="-0.499984740745262"/>
      <name val="ＭＳ Ｐゴシック"/>
      <family val="2"/>
      <scheme val="minor"/>
    </font>
    <font>
      <sz val="11"/>
      <color theme="5" tint="-0.499984740745262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8"/>
      <color theme="1"/>
      <name val="ＭＳ Ｐゴシック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5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0" fontId="10" fillId="0" borderId="0"/>
  </cellStyleXfs>
  <cellXfs count="151">
    <xf numFmtId="0" fontId="0" fillId="0" borderId="0" xfId="0"/>
    <xf numFmtId="0" fontId="0" fillId="0" borderId="0" xfId="0" applyAlignment="1">
      <alignment horizontal="centerContinuous" vertical="center"/>
    </xf>
    <xf numFmtId="38" fontId="0" fillId="0" borderId="0" xfId="1" applyFont="1" applyAlignment="1">
      <alignment horizontal="centerContinuous" vertical="center"/>
    </xf>
    <xf numFmtId="0" fontId="0" fillId="0" borderId="0" xfId="0" applyAlignment="1">
      <alignment vertical="center"/>
    </xf>
    <xf numFmtId="0" fontId="0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38" fontId="0" fillId="0" borderId="0" xfId="1" applyFont="1" applyAlignment="1">
      <alignment vertical="center"/>
    </xf>
    <xf numFmtId="0" fontId="0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0" fillId="0" borderId="3" xfId="0" applyBorder="1" applyAlignment="1">
      <alignment horizontal="centerContinuous" vertical="center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vertical="center"/>
    </xf>
    <xf numFmtId="38" fontId="0" fillId="0" borderId="0" xfId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5" xfId="0" applyFont="1" applyBorder="1" applyAlignment="1">
      <alignment horizontal="centerContinuous" vertical="center"/>
    </xf>
    <xf numFmtId="0" fontId="5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centerContinuous" vertical="center"/>
    </xf>
    <xf numFmtId="38" fontId="5" fillId="0" borderId="0" xfId="1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38" fontId="6" fillId="0" borderId="0" xfId="1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7" fillId="0" borderId="0" xfId="0" applyFont="1" applyAlignment="1">
      <alignment horizontal="centerContinuous" vertical="center"/>
    </xf>
    <xf numFmtId="0" fontId="0" fillId="0" borderId="2" xfId="0" applyBorder="1" applyAlignment="1">
      <alignment horizontal="centerContinuous" vertical="center"/>
    </xf>
    <xf numFmtId="0" fontId="0" fillId="0" borderId="6" xfId="0" applyFill="1" applyBorder="1" applyAlignment="1">
      <alignment vertical="center"/>
    </xf>
    <xf numFmtId="20" fontId="0" fillId="0" borderId="6" xfId="0" applyNumberFormat="1" applyFill="1" applyBorder="1" applyAlignment="1">
      <alignment vertical="center"/>
    </xf>
    <xf numFmtId="0" fontId="0" fillId="0" borderId="0" xfId="0" applyFill="1" applyAlignment="1">
      <alignment vertical="center"/>
    </xf>
    <xf numFmtId="0" fontId="8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9" fillId="0" borderId="3" xfId="0" applyFont="1" applyBorder="1" applyAlignment="1">
      <alignment vertical="center"/>
    </xf>
    <xf numFmtId="0" fontId="0" fillId="2" borderId="6" xfId="0" applyFill="1" applyBorder="1" applyAlignment="1">
      <alignment vertical="center"/>
    </xf>
    <xf numFmtId="20" fontId="0" fillId="2" borderId="6" xfId="0" applyNumberFormat="1" applyFill="1" applyBorder="1" applyAlignment="1">
      <alignment vertical="center"/>
    </xf>
    <xf numFmtId="176" fontId="0" fillId="2" borderId="6" xfId="0" applyNumberFormat="1" applyFill="1" applyBorder="1" applyAlignment="1">
      <alignment vertical="center"/>
    </xf>
    <xf numFmtId="38" fontId="0" fillId="2" borderId="6" xfId="1" applyFont="1" applyFill="1" applyBorder="1" applyAlignment="1">
      <alignment vertical="center"/>
    </xf>
    <xf numFmtId="0" fontId="0" fillId="2" borderId="3" xfId="0" applyFill="1" applyBorder="1" applyAlignment="1">
      <alignment vertical="center"/>
    </xf>
    <xf numFmtId="20" fontId="0" fillId="2" borderId="3" xfId="0" applyNumberFormat="1" applyFill="1" applyBorder="1" applyAlignment="1">
      <alignment vertical="center"/>
    </xf>
    <xf numFmtId="38" fontId="0" fillId="2" borderId="3" xfId="1" applyFont="1" applyFill="1" applyBorder="1" applyAlignment="1">
      <alignment vertical="center"/>
    </xf>
    <xf numFmtId="0" fontId="0" fillId="0" borderId="9" xfId="0" applyFill="1" applyBorder="1" applyAlignment="1">
      <alignment vertical="center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horizontal="center" vertical="center" wrapText="1"/>
    </xf>
    <xf numFmtId="20" fontId="0" fillId="0" borderId="11" xfId="0" applyNumberFormat="1" applyFill="1" applyBorder="1" applyAlignment="1">
      <alignment vertical="center"/>
    </xf>
    <xf numFmtId="0" fontId="0" fillId="0" borderId="13" xfId="0" applyFill="1" applyBorder="1" applyAlignment="1">
      <alignment vertical="center"/>
    </xf>
    <xf numFmtId="0" fontId="0" fillId="0" borderId="12" xfId="0" applyBorder="1" applyAlignment="1">
      <alignment horizontal="center" vertical="center"/>
    </xf>
    <xf numFmtId="38" fontId="0" fillId="0" borderId="13" xfId="1" applyFont="1" applyFill="1" applyBorder="1" applyAlignment="1">
      <alignment vertical="center"/>
    </xf>
    <xf numFmtId="0" fontId="0" fillId="2" borderId="6" xfId="0" applyFill="1" applyBorder="1" applyAlignment="1">
      <alignment vertical="center" wrapText="1"/>
    </xf>
    <xf numFmtId="0" fontId="0" fillId="2" borderId="3" xfId="0" applyFill="1" applyBorder="1" applyAlignment="1">
      <alignment vertical="center" wrapText="1"/>
    </xf>
    <xf numFmtId="0" fontId="0" fillId="0" borderId="16" xfId="0" applyBorder="1" applyAlignment="1">
      <alignment horizontal="centerContinuous" vertical="center"/>
    </xf>
    <xf numFmtId="0" fontId="0" fillId="0" borderId="17" xfId="0" applyBorder="1" applyAlignment="1">
      <alignment horizontal="centerContinuous" vertical="center"/>
    </xf>
    <xf numFmtId="0" fontId="0" fillId="0" borderId="18" xfId="0" applyBorder="1" applyAlignment="1">
      <alignment horizontal="centerContinuous" vertical="center"/>
    </xf>
    <xf numFmtId="0" fontId="0" fillId="0" borderId="19" xfId="0" applyBorder="1" applyAlignment="1">
      <alignment horizontal="centerContinuous" vertical="center"/>
    </xf>
    <xf numFmtId="0" fontId="0" fillId="0" borderId="20" xfId="0" applyBorder="1" applyAlignment="1">
      <alignment horizontal="centerContinuous" vertical="center"/>
    </xf>
    <xf numFmtId="0" fontId="0" fillId="0" borderId="23" xfId="0" applyFill="1" applyBorder="1" applyAlignment="1">
      <alignment vertical="center"/>
    </xf>
    <xf numFmtId="0" fontId="10" fillId="0" borderId="0" xfId="2" applyFont="1"/>
    <xf numFmtId="0" fontId="12" fillId="0" borderId="0" xfId="2" applyFont="1"/>
    <xf numFmtId="0" fontId="13" fillId="0" borderId="0" xfId="2" applyFont="1"/>
    <xf numFmtId="0" fontId="10" fillId="0" borderId="1" xfId="2" applyFont="1" applyBorder="1"/>
    <xf numFmtId="0" fontId="12" fillId="0" borderId="1" xfId="2" applyFont="1" applyBorder="1"/>
    <xf numFmtId="0" fontId="10" fillId="0" borderId="0" xfId="2" applyFont="1" applyBorder="1"/>
    <xf numFmtId="0" fontId="12" fillId="0" borderId="0" xfId="2" applyFont="1" applyBorder="1"/>
    <xf numFmtId="0" fontId="12" fillId="0" borderId="24" xfId="2" applyFont="1" applyBorder="1"/>
    <xf numFmtId="0" fontId="12" fillId="0" borderId="25" xfId="2" applyFont="1" applyBorder="1"/>
    <xf numFmtId="0" fontId="12" fillId="0" borderId="26" xfId="2" applyFont="1" applyBorder="1" applyAlignment="1">
      <alignment horizontal="right"/>
    </xf>
    <xf numFmtId="0" fontId="12" fillId="0" borderId="27" xfId="2" applyFont="1" applyBorder="1" applyAlignment="1">
      <alignment horizontal="centerContinuous"/>
    </xf>
    <xf numFmtId="0" fontId="12" fillId="0" borderId="28" xfId="2" applyFont="1" applyBorder="1" applyAlignment="1">
      <alignment horizontal="centerContinuous"/>
    </xf>
    <xf numFmtId="0" fontId="12" fillId="0" borderId="29" xfId="2" applyFont="1" applyBorder="1" applyAlignment="1">
      <alignment horizontal="centerContinuous"/>
    </xf>
    <xf numFmtId="0" fontId="12" fillId="0" borderId="30" xfId="2" applyFont="1" applyBorder="1"/>
    <xf numFmtId="0" fontId="12" fillId="0" borderId="31" xfId="2" applyFont="1" applyBorder="1"/>
    <xf numFmtId="0" fontId="12" fillId="0" borderId="32" xfId="2" applyFont="1" applyBorder="1"/>
    <xf numFmtId="0" fontId="12" fillId="0" borderId="33" xfId="2" applyFont="1" applyBorder="1"/>
    <xf numFmtId="0" fontId="12" fillId="0" borderId="34" xfId="2" applyFont="1" applyBorder="1" applyAlignment="1">
      <alignment horizontal="center"/>
    </xf>
    <xf numFmtId="0" fontId="12" fillId="0" borderId="0" xfId="2" applyFont="1" applyBorder="1" applyAlignment="1">
      <alignment horizontal="center"/>
    </xf>
    <xf numFmtId="0" fontId="12" fillId="0" borderId="35" xfId="2" applyFont="1" applyBorder="1" applyAlignment="1">
      <alignment horizontal="center"/>
    </xf>
    <xf numFmtId="0" fontId="12" fillId="0" borderId="36" xfId="2" applyFont="1" applyBorder="1" applyAlignment="1">
      <alignment horizontal="center"/>
    </xf>
    <xf numFmtId="0" fontId="12" fillId="0" borderId="2" xfId="2" applyFont="1" applyBorder="1" applyAlignment="1">
      <alignment horizontal="center"/>
    </xf>
    <xf numFmtId="0" fontId="12" fillId="0" borderId="37" xfId="2" applyFont="1" applyBorder="1" applyAlignment="1">
      <alignment horizontal="center"/>
    </xf>
    <xf numFmtId="0" fontId="12" fillId="0" borderId="7" xfId="2" applyFont="1" applyBorder="1" applyAlignment="1">
      <alignment horizontal="centerContinuous"/>
    </xf>
    <xf numFmtId="0" fontId="12" fillId="0" borderId="38" xfId="2" applyFont="1" applyBorder="1" applyAlignment="1">
      <alignment horizontal="centerContinuous"/>
    </xf>
    <xf numFmtId="0" fontId="12" fillId="0" borderId="0" xfId="2" applyFont="1" applyAlignment="1">
      <alignment horizontal="center"/>
    </xf>
    <xf numFmtId="0" fontId="12" fillId="0" borderId="35" xfId="2" applyFont="1" applyBorder="1" applyAlignment="1">
      <alignment horizontal="right"/>
    </xf>
    <xf numFmtId="0" fontId="12" fillId="0" borderId="37" xfId="2" applyFont="1" applyBorder="1" applyAlignment="1">
      <alignment horizontal="left"/>
    </xf>
    <xf numFmtId="0" fontId="12" fillId="0" borderId="39" xfId="2" applyFont="1" applyBorder="1" applyAlignment="1">
      <alignment horizontal="center"/>
    </xf>
    <xf numFmtId="0" fontId="12" fillId="0" borderId="40" xfId="2" applyFont="1" applyBorder="1" applyAlignment="1">
      <alignment horizontal="left"/>
    </xf>
    <xf numFmtId="0" fontId="12" fillId="0" borderId="1" xfId="2" applyFont="1" applyBorder="1" applyAlignment="1">
      <alignment horizontal="left"/>
    </xf>
    <xf numFmtId="0" fontId="12" fillId="0" borderId="1" xfId="2" applyFont="1" applyBorder="1" applyAlignment="1">
      <alignment horizontal="center"/>
    </xf>
    <xf numFmtId="0" fontId="12" fillId="0" borderId="9" xfId="2" applyFont="1" applyBorder="1" applyAlignment="1">
      <alignment horizontal="center"/>
    </xf>
    <xf numFmtId="0" fontId="12" fillId="0" borderId="6" xfId="2" applyFont="1" applyBorder="1" applyAlignment="1">
      <alignment horizontal="center"/>
    </xf>
    <xf numFmtId="0" fontId="12" fillId="0" borderId="41" xfId="2" applyFont="1" applyBorder="1" applyAlignment="1">
      <alignment horizontal="center"/>
    </xf>
    <xf numFmtId="0" fontId="12" fillId="0" borderId="42" xfId="2" applyFont="1" applyBorder="1" applyAlignment="1">
      <alignment horizontal="center"/>
    </xf>
    <xf numFmtId="0" fontId="12" fillId="0" borderId="37" xfId="2" applyFont="1" applyBorder="1"/>
    <xf numFmtId="0" fontId="12" fillId="0" borderId="6" xfId="2" applyFont="1" applyBorder="1"/>
    <xf numFmtId="0" fontId="10" fillId="0" borderId="3" xfId="2" applyFont="1" applyBorder="1"/>
    <xf numFmtId="0" fontId="10" fillId="0" borderId="43" xfId="2" applyFont="1" applyBorder="1"/>
    <xf numFmtId="0" fontId="12" fillId="0" borderId="44" xfId="2" applyFont="1" applyBorder="1" applyAlignment="1">
      <alignment horizontal="center"/>
    </xf>
    <xf numFmtId="0" fontId="12" fillId="0" borderId="3" xfId="2" applyFont="1" applyBorder="1"/>
    <xf numFmtId="0" fontId="12" fillId="0" borderId="2" xfId="2" applyFont="1" applyBorder="1"/>
    <xf numFmtId="0" fontId="12" fillId="0" borderId="37" xfId="2" applyFont="1" applyBorder="1" applyAlignment="1"/>
    <xf numFmtId="0" fontId="12" fillId="0" borderId="6" xfId="2" applyFont="1" applyBorder="1" applyAlignment="1"/>
    <xf numFmtId="0" fontId="12" fillId="0" borderId="8" xfId="2" applyFont="1" applyBorder="1"/>
    <xf numFmtId="0" fontId="12" fillId="0" borderId="46" xfId="2" applyFont="1" applyBorder="1" applyAlignment="1">
      <alignment horizontal="center"/>
    </xf>
    <xf numFmtId="0" fontId="12" fillId="0" borderId="47" xfId="2" applyFont="1" applyBorder="1"/>
    <xf numFmtId="0" fontId="12" fillId="0" borderId="48" xfId="2" applyFont="1" applyBorder="1"/>
    <xf numFmtId="0" fontId="12" fillId="0" borderId="5" xfId="2" applyFont="1" applyBorder="1"/>
    <xf numFmtId="0" fontId="10" fillId="0" borderId="5" xfId="2" applyFont="1" applyBorder="1"/>
    <xf numFmtId="0" fontId="10" fillId="0" borderId="49" xfId="2" applyFont="1" applyBorder="1"/>
    <xf numFmtId="0" fontId="10" fillId="0" borderId="6" xfId="2" applyFont="1" applyBorder="1"/>
    <xf numFmtId="0" fontId="10" fillId="0" borderId="41" xfId="2" applyFont="1" applyBorder="1"/>
    <xf numFmtId="0" fontId="12" fillId="0" borderId="9" xfId="2" applyFont="1" applyBorder="1"/>
    <xf numFmtId="0" fontId="12" fillId="0" borderId="10" xfId="2" applyFont="1" applyBorder="1"/>
    <xf numFmtId="0" fontId="10" fillId="0" borderId="0" xfId="2" applyFont="1" applyAlignment="1">
      <alignment horizontal="right"/>
    </xf>
    <xf numFmtId="0" fontId="10" fillId="0" borderId="35" xfId="2" applyFont="1" applyFill="1" applyBorder="1"/>
    <xf numFmtId="0" fontId="10" fillId="0" borderId="0" xfId="2" applyFont="1" applyFill="1" applyBorder="1"/>
    <xf numFmtId="0" fontId="0" fillId="0" borderId="0" xfId="0" quotePrefix="1" applyAlignment="1">
      <alignment vertical="center"/>
    </xf>
    <xf numFmtId="0" fontId="14" fillId="0" borderId="0" xfId="0" applyFont="1" applyAlignment="1">
      <alignment vertical="center"/>
    </xf>
    <xf numFmtId="0" fontId="14" fillId="0" borderId="13" xfId="0" applyFont="1" applyFill="1" applyBorder="1" applyAlignment="1">
      <alignment horizontal="right" vertical="center"/>
    </xf>
    <xf numFmtId="0" fontId="14" fillId="0" borderId="9" xfId="0" applyFont="1" applyFill="1" applyBorder="1" applyAlignment="1">
      <alignment horizontal="right" vertical="center"/>
    </xf>
    <xf numFmtId="0" fontId="14" fillId="0" borderId="6" xfId="0" applyFont="1" applyFill="1" applyBorder="1" applyAlignment="1">
      <alignment horizontal="right" vertical="center"/>
    </xf>
    <xf numFmtId="0" fontId="14" fillId="0" borderId="11" xfId="0" applyFont="1" applyFill="1" applyBorder="1" applyAlignment="1">
      <alignment horizontal="right" vertical="center"/>
    </xf>
    <xf numFmtId="0" fontId="0" fillId="0" borderId="6" xfId="0" applyFont="1" applyFill="1" applyBorder="1" applyAlignment="1">
      <alignment horizontal="right" vertical="center"/>
    </xf>
    <xf numFmtId="176" fontId="0" fillId="0" borderId="11" xfId="0" applyNumberFormat="1" applyFont="1" applyFill="1" applyBorder="1" applyAlignment="1">
      <alignment horizontal="right" vertical="center"/>
    </xf>
    <xf numFmtId="0" fontId="0" fillId="0" borderId="2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38" fontId="0" fillId="0" borderId="15" xfId="1" applyFont="1" applyBorder="1" applyAlignment="1">
      <alignment horizontal="center" vertical="center" wrapText="1"/>
    </xf>
    <xf numFmtId="38" fontId="0" fillId="0" borderId="14" xfId="1" applyFont="1" applyBorder="1" applyAlignment="1">
      <alignment horizontal="center" vertical="center"/>
    </xf>
    <xf numFmtId="0" fontId="6" fillId="0" borderId="3" xfId="0" applyFont="1" applyBorder="1" applyAlignment="1">
      <alignment vertical="center"/>
    </xf>
    <xf numFmtId="38" fontId="0" fillId="0" borderId="2" xfId="1" applyFont="1" applyBorder="1" applyAlignment="1">
      <alignment horizontal="center" vertical="center" wrapText="1"/>
    </xf>
    <xf numFmtId="38" fontId="0" fillId="0" borderId="4" xfId="1" applyFont="1" applyBorder="1" applyAlignment="1">
      <alignment horizontal="center" vertical="center"/>
    </xf>
    <xf numFmtId="0" fontId="6" fillId="0" borderId="6" xfId="0" applyFont="1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3" fillId="0" borderId="0" xfId="2" applyFont="1" applyAlignment="1">
      <alignment horizontal="center"/>
    </xf>
    <xf numFmtId="0" fontId="12" fillId="0" borderId="45" xfId="2" applyFont="1" applyBorder="1" applyAlignment="1">
      <alignment horizontal="center"/>
    </xf>
    <xf numFmtId="0" fontId="12" fillId="0" borderId="36" xfId="2" applyFont="1" applyBorder="1" applyAlignment="1">
      <alignment horizontal="center"/>
    </xf>
    <xf numFmtId="0" fontId="12" fillId="0" borderId="32" xfId="2" applyFont="1" applyBorder="1" applyAlignment="1">
      <alignment horizontal="center"/>
    </xf>
    <xf numFmtId="0" fontId="12" fillId="0" borderId="26" xfId="2" applyFont="1" applyBorder="1" applyAlignment="1">
      <alignment horizontal="center"/>
    </xf>
    <xf numFmtId="0" fontId="12" fillId="0" borderId="34" xfId="2" applyFont="1" applyBorder="1" applyAlignment="1">
      <alignment horizontal="center"/>
    </xf>
    <xf numFmtId="0" fontId="12" fillId="0" borderId="0" xfId="2" applyFont="1" applyBorder="1" applyAlignment="1">
      <alignment horizontal="center"/>
    </xf>
    <xf numFmtId="0" fontId="12" fillId="0" borderId="35" xfId="2" applyFont="1" applyBorder="1" applyAlignment="1">
      <alignment horizontal="center"/>
    </xf>
    <xf numFmtId="0" fontId="12" fillId="0" borderId="50" xfId="2" applyFont="1" applyBorder="1" applyAlignment="1">
      <alignment horizontal="center"/>
    </xf>
    <xf numFmtId="0" fontId="12" fillId="0" borderId="51" xfId="2" applyFont="1" applyBorder="1" applyAlignment="1">
      <alignment horizontal="center"/>
    </xf>
    <xf numFmtId="0" fontId="12" fillId="0" borderId="48" xfId="2" applyFont="1" applyBorder="1" applyAlignment="1">
      <alignment horizontal="center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16</xdr:col>
      <xdr:colOff>149678</xdr:colOff>
      <xdr:row>10</xdr:row>
      <xdr:rowOff>81642</xdr:rowOff>
    </xdr:from>
    <xdr:ext cx="3555315" cy="572080"/>
    <xdr:sp macro="" textlink="">
      <xdr:nvSpPr>
        <xdr:cNvPr id="4" name="テキスト ボックス 3"/>
        <xdr:cNvSpPr txBox="1"/>
      </xdr:nvSpPr>
      <xdr:spPr>
        <a:xfrm>
          <a:off x="13566321" y="2462892"/>
          <a:ext cx="3555315" cy="572080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endParaRPr kumimoji="1" lang="en-US" altLang="ja-JP" sz="1000"/>
        </a:p>
        <a:p>
          <a:pPr algn="ctr"/>
          <a:r>
            <a:rPr kumimoji="1" lang="ja-JP" altLang="en-US" sz="1000"/>
            <a:t>事故の場合記載不要</a:t>
          </a:r>
          <a:endParaRPr kumimoji="1" lang="en-US" altLang="ja-JP" sz="1000"/>
        </a:p>
        <a:p>
          <a:pPr algn="ctr"/>
          <a:endParaRPr kumimoji="1" lang="ja-JP" altLang="en-US" sz="1000"/>
        </a:p>
      </xdr:txBody>
    </xdr:sp>
    <xdr:clientData/>
  </xdr:oneCellAnchor>
  <xdr:oneCellAnchor>
    <xdr:from>
      <xdr:col>10</xdr:col>
      <xdr:colOff>43544</xdr:colOff>
      <xdr:row>11</xdr:row>
      <xdr:rowOff>70757</xdr:rowOff>
    </xdr:from>
    <xdr:ext cx="691242" cy="592470"/>
    <xdr:sp macro="" textlink="">
      <xdr:nvSpPr>
        <xdr:cNvPr id="5" name="テキスト ボックス 4"/>
        <xdr:cNvSpPr txBox="1"/>
      </xdr:nvSpPr>
      <xdr:spPr>
        <a:xfrm>
          <a:off x="9609365" y="3214007"/>
          <a:ext cx="691242" cy="592470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kumimoji="1" lang="ja-JP" altLang="en-US" sz="1000"/>
            <a:t>本線上の</a:t>
          </a:r>
          <a:endParaRPr kumimoji="1" lang="en-US" altLang="ja-JP" sz="1000"/>
        </a:p>
        <a:p>
          <a:pPr algn="ctr"/>
          <a:r>
            <a:rPr kumimoji="1" lang="ja-JP" altLang="en-US" sz="1000"/>
            <a:t>場合</a:t>
          </a:r>
          <a:endParaRPr kumimoji="1" lang="en-US" altLang="ja-JP" sz="1000"/>
        </a:p>
        <a:p>
          <a:pPr algn="ctr"/>
          <a:r>
            <a:rPr kumimoji="1" lang="ja-JP" altLang="en-US" sz="1000"/>
            <a:t>記載不要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9525</xdr:rowOff>
    </xdr:from>
    <xdr:to>
      <xdr:col>4</xdr:col>
      <xdr:colOff>0</xdr:colOff>
      <xdr:row>10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0" y="1171575"/>
          <a:ext cx="2962275" cy="7239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U45"/>
  <sheetViews>
    <sheetView showGridLines="0" tabSelected="1" zoomScale="70" zoomScaleNormal="70" zoomScaleSheetLayoutView="70" workbookViewId="0">
      <pane ySplit="10" topLeftCell="A11" activePane="bottomLeft" state="frozen"/>
      <selection pane="bottomLeft" sqref="A1:U43"/>
    </sheetView>
  </sheetViews>
  <sheetFormatPr defaultColWidth="7.625" defaultRowHeight="18" customHeight="1" x14ac:dyDescent="0.15"/>
  <cols>
    <col min="1" max="1" width="7.625" style="3"/>
    <col min="2" max="5" width="6.125" style="3" customWidth="1"/>
    <col min="6" max="8" width="9.25" style="3" bestFit="1" customWidth="1"/>
    <col min="9" max="9" width="7.5" style="3" bestFit="1" customWidth="1"/>
    <col min="10" max="10" width="5.625" style="3" bestFit="1" customWidth="1"/>
    <col min="11" max="11" width="10.875" style="3" bestFit="1" customWidth="1"/>
    <col min="12" max="12" width="6.875" style="3" bestFit="1" customWidth="1"/>
    <col min="13" max="14" width="10.125" style="3" bestFit="1" customWidth="1"/>
    <col min="15" max="19" width="7.5" style="3" bestFit="1" customWidth="1"/>
    <col min="20" max="20" width="11.125" style="6" bestFit="1" customWidth="1"/>
    <col min="21" max="21" width="31.375" style="3" bestFit="1" customWidth="1"/>
    <col min="22" max="16384" width="7.625" style="3"/>
  </cols>
  <sheetData>
    <row r="1" spans="1:21" ht="18" customHeight="1" x14ac:dyDescent="0.15">
      <c r="A1" s="27" t="s">
        <v>219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2"/>
      <c r="U1" s="1"/>
    </row>
    <row r="3" spans="1:21" ht="18" customHeight="1" x14ac:dyDescent="0.15">
      <c r="A3" s="4" t="s">
        <v>0</v>
      </c>
      <c r="B3" s="5"/>
      <c r="C3" s="5"/>
      <c r="D3" s="5"/>
      <c r="E3" s="5"/>
      <c r="F3" s="5" t="s">
        <v>1</v>
      </c>
      <c r="G3" s="5"/>
      <c r="H3" s="5"/>
      <c r="I3" s="5"/>
    </row>
    <row r="4" spans="1:21" ht="18" customHeight="1" x14ac:dyDescent="0.15">
      <c r="A4" s="7"/>
      <c r="B4" s="8"/>
      <c r="C4" s="8"/>
      <c r="D4" s="8"/>
      <c r="E4" s="8"/>
      <c r="F4" s="8"/>
      <c r="G4" s="8"/>
      <c r="H4" s="8"/>
    </row>
    <row r="5" spans="1:21" ht="18" customHeight="1" x14ac:dyDescent="0.15">
      <c r="A5" s="5" t="s">
        <v>2</v>
      </c>
      <c r="B5" s="5"/>
      <c r="C5" s="5"/>
      <c r="D5" s="5"/>
      <c r="E5" s="5"/>
      <c r="F5" s="5" t="s">
        <v>99</v>
      </c>
      <c r="G5" s="5"/>
      <c r="H5" s="5"/>
      <c r="I5" s="5"/>
    </row>
    <row r="6" spans="1:21" ht="18" customHeight="1" x14ac:dyDescent="0.15">
      <c r="A6" s="7"/>
      <c r="B6" s="8"/>
      <c r="C6" s="8"/>
      <c r="D6" s="8"/>
      <c r="E6" s="8"/>
      <c r="F6" s="8"/>
      <c r="G6" s="8"/>
      <c r="H6" s="8"/>
    </row>
    <row r="7" spans="1:21" ht="18" customHeight="1" x14ac:dyDescent="0.15">
      <c r="A7" s="5" t="s">
        <v>3</v>
      </c>
      <c r="B7" s="5"/>
      <c r="C7" s="5"/>
      <c r="D7" s="5"/>
      <c r="E7" s="5"/>
      <c r="F7" s="5" t="s">
        <v>4</v>
      </c>
      <c r="G7" s="5"/>
      <c r="H7" s="5"/>
      <c r="I7" s="5"/>
      <c r="J7" s="3" t="s">
        <v>105</v>
      </c>
    </row>
    <row r="8" spans="1:21" ht="14.25" thickBot="1" x14ac:dyDescent="0.2"/>
    <row r="9" spans="1:21" ht="18" customHeight="1" x14ac:dyDescent="0.15">
      <c r="A9" s="126" t="s">
        <v>5</v>
      </c>
      <c r="B9" s="51" t="s">
        <v>6</v>
      </c>
      <c r="C9" s="52"/>
      <c r="D9" s="52"/>
      <c r="E9" s="52"/>
      <c r="F9" s="52"/>
      <c r="G9" s="53"/>
      <c r="H9" s="54"/>
      <c r="I9" s="126" t="s">
        <v>7</v>
      </c>
      <c r="J9" s="51" t="s">
        <v>8</v>
      </c>
      <c r="K9" s="52"/>
      <c r="L9" s="55"/>
      <c r="M9" s="128" t="s">
        <v>98</v>
      </c>
      <c r="N9" s="128" t="s">
        <v>106</v>
      </c>
      <c r="O9" s="51" t="s">
        <v>9</v>
      </c>
      <c r="P9" s="55"/>
      <c r="Q9" s="51" t="s">
        <v>10</v>
      </c>
      <c r="R9" s="52"/>
      <c r="S9" s="55"/>
      <c r="T9" s="130" t="s">
        <v>11</v>
      </c>
      <c r="U9" s="124" t="s">
        <v>89</v>
      </c>
    </row>
    <row r="10" spans="1:21" s="12" customFormat="1" ht="23.25" thickBot="1" x14ac:dyDescent="0.2">
      <c r="A10" s="127"/>
      <c r="B10" s="43" t="s">
        <v>12</v>
      </c>
      <c r="C10" s="10" t="s">
        <v>13</v>
      </c>
      <c r="D10" s="10" t="s">
        <v>14</v>
      </c>
      <c r="E10" s="10" t="s">
        <v>15</v>
      </c>
      <c r="F10" s="11" t="s">
        <v>95</v>
      </c>
      <c r="G10" s="11" t="s">
        <v>96</v>
      </c>
      <c r="H10" s="44" t="s">
        <v>97</v>
      </c>
      <c r="I10" s="127"/>
      <c r="J10" s="43" t="s">
        <v>16</v>
      </c>
      <c r="K10" s="11" t="s">
        <v>17</v>
      </c>
      <c r="L10" s="44" t="s">
        <v>18</v>
      </c>
      <c r="M10" s="129"/>
      <c r="N10" s="129"/>
      <c r="O10" s="43" t="s">
        <v>19</v>
      </c>
      <c r="P10" s="47" t="s">
        <v>20</v>
      </c>
      <c r="Q10" s="43" t="s">
        <v>19</v>
      </c>
      <c r="R10" s="10" t="s">
        <v>21</v>
      </c>
      <c r="S10" s="47" t="s">
        <v>22</v>
      </c>
      <c r="T10" s="131"/>
      <c r="U10" s="125"/>
    </row>
    <row r="11" spans="1:21" s="31" customFormat="1" ht="18" customHeight="1" thickTop="1" x14ac:dyDescent="0.15">
      <c r="A11" s="46"/>
      <c r="B11" s="42"/>
      <c r="C11" s="29"/>
      <c r="D11" s="29"/>
      <c r="E11" s="29"/>
      <c r="F11" s="30"/>
      <c r="G11" s="30"/>
      <c r="H11" s="45"/>
      <c r="I11" s="118"/>
      <c r="J11" s="119"/>
      <c r="K11" s="122"/>
      <c r="L11" s="123"/>
      <c r="M11" s="118"/>
      <c r="N11" s="118"/>
      <c r="O11" s="119"/>
      <c r="P11" s="121"/>
      <c r="Q11" s="119"/>
      <c r="R11" s="120"/>
      <c r="S11" s="121"/>
      <c r="T11" s="48"/>
      <c r="U11" s="56"/>
    </row>
    <row r="12" spans="1:21" s="31" customFormat="1" ht="18" customHeight="1" x14ac:dyDescent="0.15">
      <c r="A12" s="46"/>
      <c r="B12" s="42"/>
      <c r="C12" s="29"/>
      <c r="D12" s="29"/>
      <c r="E12" s="29"/>
      <c r="F12" s="30"/>
      <c r="G12" s="30"/>
      <c r="H12" s="45"/>
      <c r="I12" s="118"/>
      <c r="J12" s="119"/>
      <c r="K12" s="122"/>
      <c r="L12" s="123"/>
      <c r="M12" s="118"/>
      <c r="N12" s="118"/>
      <c r="O12" s="119"/>
      <c r="P12" s="121"/>
      <c r="Q12" s="119"/>
      <c r="R12" s="120"/>
      <c r="S12" s="121"/>
      <c r="T12" s="48"/>
      <c r="U12" s="56"/>
    </row>
    <row r="13" spans="1:21" s="31" customFormat="1" ht="18" customHeight="1" x14ac:dyDescent="0.15">
      <c r="A13" s="46"/>
      <c r="B13" s="42"/>
      <c r="C13" s="29"/>
      <c r="D13" s="29"/>
      <c r="E13" s="29"/>
      <c r="F13" s="30"/>
      <c r="G13" s="30"/>
      <c r="H13" s="45"/>
      <c r="I13" s="118"/>
      <c r="J13" s="119"/>
      <c r="K13" s="122"/>
      <c r="L13" s="123"/>
      <c r="M13" s="118"/>
      <c r="N13" s="118"/>
      <c r="O13" s="119"/>
      <c r="P13" s="121"/>
      <c r="Q13" s="119"/>
      <c r="R13" s="120"/>
      <c r="S13" s="121"/>
      <c r="T13" s="48"/>
      <c r="U13" s="56"/>
    </row>
    <row r="14" spans="1:21" s="31" customFormat="1" ht="18" customHeight="1" x14ac:dyDescent="0.15">
      <c r="A14" s="46"/>
      <c r="B14" s="42"/>
      <c r="C14" s="29"/>
      <c r="D14" s="29"/>
      <c r="E14" s="29"/>
      <c r="F14" s="30"/>
      <c r="G14" s="30"/>
      <c r="H14" s="45"/>
      <c r="I14" s="118"/>
      <c r="J14" s="119"/>
      <c r="K14" s="122"/>
      <c r="L14" s="123"/>
      <c r="M14" s="118"/>
      <c r="N14" s="118"/>
      <c r="O14" s="119"/>
      <c r="P14" s="121"/>
      <c r="Q14" s="119"/>
      <c r="R14" s="120"/>
      <c r="S14" s="121"/>
      <c r="T14" s="48"/>
      <c r="U14" s="56"/>
    </row>
    <row r="15" spans="1:21" s="31" customFormat="1" ht="18" customHeight="1" x14ac:dyDescent="0.15">
      <c r="A15" s="46"/>
      <c r="B15" s="42"/>
      <c r="C15" s="29"/>
      <c r="D15" s="29"/>
      <c r="E15" s="29"/>
      <c r="F15" s="30"/>
      <c r="G15" s="30"/>
      <c r="H15" s="45"/>
      <c r="I15" s="118"/>
      <c r="J15" s="119"/>
      <c r="K15" s="122"/>
      <c r="L15" s="123"/>
      <c r="M15" s="118"/>
      <c r="N15" s="118"/>
      <c r="O15" s="119"/>
      <c r="P15" s="121"/>
      <c r="Q15" s="119"/>
      <c r="R15" s="120"/>
      <c r="S15" s="121"/>
      <c r="T15" s="48"/>
      <c r="U15" s="56"/>
    </row>
    <row r="16" spans="1:21" s="31" customFormat="1" ht="18" customHeight="1" x14ac:dyDescent="0.15">
      <c r="A16" s="46"/>
      <c r="B16" s="42"/>
      <c r="C16" s="29"/>
      <c r="D16" s="29"/>
      <c r="E16" s="29"/>
      <c r="F16" s="30"/>
      <c r="G16" s="30"/>
      <c r="H16" s="45"/>
      <c r="I16" s="118"/>
      <c r="J16" s="119"/>
      <c r="K16" s="122"/>
      <c r="L16" s="123"/>
      <c r="M16" s="118"/>
      <c r="N16" s="118"/>
      <c r="O16" s="119"/>
      <c r="P16" s="121"/>
      <c r="Q16" s="119"/>
      <c r="R16" s="120"/>
      <c r="S16" s="121"/>
      <c r="T16" s="48"/>
      <c r="U16" s="56"/>
    </row>
    <row r="17" spans="1:21" s="31" customFormat="1" ht="18" customHeight="1" x14ac:dyDescent="0.15">
      <c r="A17" s="46"/>
      <c r="B17" s="42"/>
      <c r="C17" s="29"/>
      <c r="D17" s="29"/>
      <c r="E17" s="29"/>
      <c r="F17" s="30"/>
      <c r="G17" s="30"/>
      <c r="H17" s="45"/>
      <c r="I17" s="118"/>
      <c r="J17" s="119"/>
      <c r="K17" s="122"/>
      <c r="L17" s="123"/>
      <c r="M17" s="118"/>
      <c r="N17" s="118"/>
      <c r="O17" s="119"/>
      <c r="P17" s="121"/>
      <c r="Q17" s="119"/>
      <c r="R17" s="120"/>
      <c r="S17" s="121"/>
      <c r="T17" s="48"/>
      <c r="U17" s="56"/>
    </row>
    <row r="18" spans="1:21" s="31" customFormat="1" ht="18" customHeight="1" x14ac:dyDescent="0.15">
      <c r="A18" s="46"/>
      <c r="B18" s="42"/>
      <c r="C18" s="29"/>
      <c r="D18" s="29"/>
      <c r="E18" s="29"/>
      <c r="F18" s="30"/>
      <c r="G18" s="30"/>
      <c r="H18" s="45"/>
      <c r="I18" s="118"/>
      <c r="J18" s="119"/>
      <c r="K18" s="122"/>
      <c r="L18" s="123"/>
      <c r="M18" s="118"/>
      <c r="N18" s="118"/>
      <c r="O18" s="119"/>
      <c r="P18" s="121"/>
      <c r="Q18" s="119"/>
      <c r="R18" s="120"/>
      <c r="S18" s="121"/>
      <c r="T18" s="48"/>
      <c r="U18" s="56"/>
    </row>
    <row r="19" spans="1:21" s="31" customFormat="1" ht="18" customHeight="1" x14ac:dyDescent="0.15">
      <c r="A19" s="46"/>
      <c r="B19" s="42"/>
      <c r="C19" s="29"/>
      <c r="D19" s="29"/>
      <c r="E19" s="29"/>
      <c r="F19" s="30"/>
      <c r="G19" s="30"/>
      <c r="H19" s="45"/>
      <c r="I19" s="118"/>
      <c r="J19" s="119"/>
      <c r="K19" s="122"/>
      <c r="L19" s="123"/>
      <c r="M19" s="118"/>
      <c r="N19" s="118"/>
      <c r="O19" s="119"/>
      <c r="P19" s="121"/>
      <c r="Q19" s="119"/>
      <c r="R19" s="120"/>
      <c r="S19" s="121"/>
      <c r="T19" s="48"/>
      <c r="U19" s="56"/>
    </row>
    <row r="20" spans="1:21" s="31" customFormat="1" ht="18" customHeight="1" x14ac:dyDescent="0.15">
      <c r="A20" s="46"/>
      <c r="B20" s="42"/>
      <c r="C20" s="29"/>
      <c r="D20" s="29"/>
      <c r="E20" s="29"/>
      <c r="F20" s="30"/>
      <c r="G20" s="30"/>
      <c r="H20" s="45"/>
      <c r="I20" s="118"/>
      <c r="J20" s="119"/>
      <c r="K20" s="122"/>
      <c r="L20" s="123"/>
      <c r="M20" s="118"/>
      <c r="N20" s="118"/>
      <c r="O20" s="119"/>
      <c r="P20" s="121"/>
      <c r="Q20" s="119"/>
      <c r="R20" s="120"/>
      <c r="S20" s="121"/>
      <c r="T20" s="48"/>
      <c r="U20" s="56"/>
    </row>
    <row r="21" spans="1:21" s="31" customFormat="1" ht="18" customHeight="1" x14ac:dyDescent="0.15">
      <c r="A21" s="46"/>
      <c r="B21" s="42"/>
      <c r="C21" s="29"/>
      <c r="D21" s="29"/>
      <c r="E21" s="29"/>
      <c r="F21" s="30"/>
      <c r="G21" s="30"/>
      <c r="H21" s="45"/>
      <c r="I21" s="118"/>
      <c r="J21" s="119"/>
      <c r="K21" s="122"/>
      <c r="L21" s="123"/>
      <c r="M21" s="118"/>
      <c r="N21" s="118"/>
      <c r="O21" s="119"/>
      <c r="P21" s="121"/>
      <c r="Q21" s="119"/>
      <c r="R21" s="120"/>
      <c r="S21" s="121"/>
      <c r="T21" s="48"/>
      <c r="U21" s="56"/>
    </row>
    <row r="22" spans="1:21" s="31" customFormat="1" ht="18" customHeight="1" x14ac:dyDescent="0.15">
      <c r="A22" s="46"/>
      <c r="B22" s="42"/>
      <c r="C22" s="29"/>
      <c r="D22" s="29"/>
      <c r="E22" s="29"/>
      <c r="F22" s="30"/>
      <c r="G22" s="30"/>
      <c r="H22" s="45"/>
      <c r="I22" s="118"/>
      <c r="J22" s="119"/>
      <c r="K22" s="122"/>
      <c r="L22" s="123"/>
      <c r="M22" s="118"/>
      <c r="N22" s="118"/>
      <c r="O22" s="119"/>
      <c r="P22" s="121"/>
      <c r="Q22" s="119"/>
      <c r="R22" s="120"/>
      <c r="S22" s="121"/>
      <c r="T22" s="48"/>
      <c r="U22" s="56"/>
    </row>
    <row r="23" spans="1:21" s="31" customFormat="1" ht="18" customHeight="1" x14ac:dyDescent="0.15">
      <c r="A23" s="46"/>
      <c r="B23" s="42"/>
      <c r="C23" s="29"/>
      <c r="D23" s="29"/>
      <c r="E23" s="29"/>
      <c r="F23" s="30"/>
      <c r="G23" s="30"/>
      <c r="H23" s="45"/>
      <c r="I23" s="118"/>
      <c r="J23" s="119"/>
      <c r="K23" s="122"/>
      <c r="L23" s="123"/>
      <c r="M23" s="118"/>
      <c r="N23" s="118"/>
      <c r="O23" s="119"/>
      <c r="P23" s="121"/>
      <c r="Q23" s="119"/>
      <c r="R23" s="120"/>
      <c r="S23" s="121"/>
      <c r="T23" s="48"/>
      <c r="U23" s="56"/>
    </row>
    <row r="24" spans="1:21" s="31" customFormat="1" ht="18" customHeight="1" x14ac:dyDescent="0.15">
      <c r="A24" s="46"/>
      <c r="B24" s="42"/>
      <c r="C24" s="29"/>
      <c r="D24" s="29"/>
      <c r="E24" s="29"/>
      <c r="F24" s="30"/>
      <c r="G24" s="30"/>
      <c r="H24" s="45"/>
      <c r="I24" s="118"/>
      <c r="J24" s="119"/>
      <c r="K24" s="122"/>
      <c r="L24" s="123"/>
      <c r="M24" s="118"/>
      <c r="N24" s="118"/>
      <c r="O24" s="119"/>
      <c r="P24" s="121"/>
      <c r="Q24" s="119"/>
      <c r="R24" s="120"/>
      <c r="S24" s="121"/>
      <c r="T24" s="48"/>
      <c r="U24" s="56"/>
    </row>
    <row r="25" spans="1:21" s="31" customFormat="1" ht="18" customHeight="1" x14ac:dyDescent="0.15">
      <c r="A25" s="46"/>
      <c r="B25" s="42"/>
      <c r="C25" s="29"/>
      <c r="D25" s="29"/>
      <c r="E25" s="29"/>
      <c r="F25" s="30"/>
      <c r="G25" s="30"/>
      <c r="H25" s="45"/>
      <c r="I25" s="118"/>
      <c r="J25" s="119"/>
      <c r="K25" s="122"/>
      <c r="L25" s="123"/>
      <c r="M25" s="118"/>
      <c r="N25" s="118"/>
      <c r="O25" s="119"/>
      <c r="P25" s="121"/>
      <c r="Q25" s="119"/>
      <c r="R25" s="120"/>
      <c r="S25" s="121"/>
      <c r="T25" s="48"/>
      <c r="U25" s="56"/>
    </row>
    <row r="26" spans="1:21" s="31" customFormat="1" ht="18" customHeight="1" x14ac:dyDescent="0.15">
      <c r="A26" s="46"/>
      <c r="B26" s="42"/>
      <c r="C26" s="29"/>
      <c r="D26" s="29"/>
      <c r="E26" s="29"/>
      <c r="F26" s="30"/>
      <c r="G26" s="30"/>
      <c r="H26" s="45"/>
      <c r="I26" s="118"/>
      <c r="J26" s="119"/>
      <c r="K26" s="122"/>
      <c r="L26" s="123"/>
      <c r="M26" s="118"/>
      <c r="N26" s="118"/>
      <c r="O26" s="119"/>
      <c r="P26" s="121"/>
      <c r="Q26" s="119"/>
      <c r="R26" s="120"/>
      <c r="S26" s="121"/>
      <c r="T26" s="48"/>
      <c r="U26" s="56"/>
    </row>
    <row r="27" spans="1:21" s="31" customFormat="1" ht="18" customHeight="1" x14ac:dyDescent="0.15">
      <c r="A27" s="46"/>
      <c r="B27" s="42"/>
      <c r="C27" s="29"/>
      <c r="D27" s="29"/>
      <c r="E27" s="29"/>
      <c r="F27" s="30"/>
      <c r="G27" s="30"/>
      <c r="H27" s="45"/>
      <c r="I27" s="118"/>
      <c r="J27" s="119"/>
      <c r="K27" s="122"/>
      <c r="L27" s="123"/>
      <c r="M27" s="118"/>
      <c r="N27" s="118"/>
      <c r="O27" s="119"/>
      <c r="P27" s="121"/>
      <c r="Q27" s="119"/>
      <c r="R27" s="120"/>
      <c r="S27" s="121"/>
      <c r="T27" s="48"/>
      <c r="U27" s="56"/>
    </row>
    <row r="28" spans="1:21" s="31" customFormat="1" ht="18" customHeight="1" x14ac:dyDescent="0.15">
      <c r="A28" s="46"/>
      <c r="B28" s="42"/>
      <c r="C28" s="29"/>
      <c r="D28" s="29"/>
      <c r="E28" s="29"/>
      <c r="F28" s="30"/>
      <c r="G28" s="30"/>
      <c r="H28" s="45"/>
      <c r="I28" s="118"/>
      <c r="J28" s="119"/>
      <c r="K28" s="122"/>
      <c r="L28" s="123"/>
      <c r="M28" s="118"/>
      <c r="N28" s="118"/>
      <c r="O28" s="119"/>
      <c r="P28" s="121"/>
      <c r="Q28" s="119"/>
      <c r="R28" s="120"/>
      <c r="S28" s="121"/>
      <c r="T28" s="48"/>
      <c r="U28" s="56"/>
    </row>
    <row r="29" spans="1:21" s="31" customFormat="1" ht="18" customHeight="1" x14ac:dyDescent="0.15">
      <c r="A29" s="46"/>
      <c r="B29" s="42"/>
      <c r="C29" s="29"/>
      <c r="D29" s="29"/>
      <c r="E29" s="29"/>
      <c r="F29" s="30"/>
      <c r="G29" s="30"/>
      <c r="H29" s="45"/>
      <c r="I29" s="118"/>
      <c r="J29" s="119"/>
      <c r="K29" s="122"/>
      <c r="L29" s="123"/>
      <c r="M29" s="118"/>
      <c r="N29" s="118"/>
      <c r="O29" s="119"/>
      <c r="P29" s="121"/>
      <c r="Q29" s="119"/>
      <c r="R29" s="120"/>
      <c r="S29" s="121"/>
      <c r="T29" s="48"/>
      <c r="U29" s="56"/>
    </row>
    <row r="30" spans="1:21" s="31" customFormat="1" ht="18" customHeight="1" x14ac:dyDescent="0.15">
      <c r="A30" s="46"/>
      <c r="B30" s="42"/>
      <c r="C30" s="29"/>
      <c r="D30" s="29"/>
      <c r="E30" s="29"/>
      <c r="F30" s="30"/>
      <c r="G30" s="30"/>
      <c r="H30" s="45"/>
      <c r="I30" s="118"/>
      <c r="J30" s="119"/>
      <c r="K30" s="122"/>
      <c r="L30" s="123"/>
      <c r="M30" s="118"/>
      <c r="N30" s="118"/>
      <c r="O30" s="119"/>
      <c r="P30" s="121"/>
      <c r="Q30" s="119"/>
      <c r="R30" s="120"/>
      <c r="S30" s="121"/>
      <c r="T30" s="48"/>
      <c r="U30" s="56"/>
    </row>
    <row r="31" spans="1:21" s="31" customFormat="1" ht="18" customHeight="1" x14ac:dyDescent="0.15">
      <c r="A31" s="46"/>
      <c r="B31" s="42"/>
      <c r="C31" s="29"/>
      <c r="D31" s="29"/>
      <c r="E31" s="29"/>
      <c r="F31" s="30"/>
      <c r="G31" s="30"/>
      <c r="H31" s="45"/>
      <c r="I31" s="118"/>
      <c r="J31" s="119"/>
      <c r="K31" s="122"/>
      <c r="L31" s="123"/>
      <c r="M31" s="118"/>
      <c r="N31" s="118"/>
      <c r="O31" s="119"/>
      <c r="P31" s="121"/>
      <c r="Q31" s="119"/>
      <c r="R31" s="120"/>
      <c r="S31" s="121"/>
      <c r="T31" s="48"/>
      <c r="U31" s="56"/>
    </row>
    <row r="32" spans="1:21" s="31" customFormat="1" ht="18" customHeight="1" x14ac:dyDescent="0.15">
      <c r="A32" s="46"/>
      <c r="B32" s="42"/>
      <c r="C32" s="29"/>
      <c r="D32" s="29"/>
      <c r="E32" s="29"/>
      <c r="F32" s="30"/>
      <c r="G32" s="30"/>
      <c r="H32" s="45"/>
      <c r="I32" s="118"/>
      <c r="J32" s="119"/>
      <c r="K32" s="122"/>
      <c r="L32" s="123"/>
      <c r="M32" s="118"/>
      <c r="N32" s="118"/>
      <c r="O32" s="119"/>
      <c r="P32" s="121"/>
      <c r="Q32" s="119"/>
      <c r="R32" s="120"/>
      <c r="S32" s="121"/>
      <c r="T32" s="48"/>
      <c r="U32" s="56"/>
    </row>
    <row r="33" spans="1:21" s="31" customFormat="1" ht="18" customHeight="1" x14ac:dyDescent="0.15">
      <c r="A33" s="46"/>
      <c r="B33" s="42"/>
      <c r="C33" s="29"/>
      <c r="D33" s="29"/>
      <c r="E33" s="29"/>
      <c r="F33" s="30"/>
      <c r="G33" s="30"/>
      <c r="H33" s="45"/>
      <c r="I33" s="118"/>
      <c r="J33" s="119"/>
      <c r="K33" s="122"/>
      <c r="L33" s="123"/>
      <c r="M33" s="118"/>
      <c r="N33" s="118"/>
      <c r="O33" s="119"/>
      <c r="P33" s="121"/>
      <c r="Q33" s="119"/>
      <c r="R33" s="120"/>
      <c r="S33" s="121"/>
      <c r="T33" s="48"/>
      <c r="U33" s="56"/>
    </row>
    <row r="34" spans="1:21" s="31" customFormat="1" ht="18" customHeight="1" x14ac:dyDescent="0.15">
      <c r="A34" s="46"/>
      <c r="B34" s="42"/>
      <c r="C34" s="29"/>
      <c r="D34" s="29"/>
      <c r="E34" s="29"/>
      <c r="F34" s="30"/>
      <c r="G34" s="30"/>
      <c r="H34" s="45"/>
      <c r="I34" s="118"/>
      <c r="J34" s="119"/>
      <c r="K34" s="122"/>
      <c r="L34" s="123"/>
      <c r="M34" s="118"/>
      <c r="N34" s="118"/>
      <c r="O34" s="119"/>
      <c r="P34" s="121"/>
      <c r="Q34" s="119"/>
      <c r="R34" s="120"/>
      <c r="S34" s="121"/>
      <c r="T34" s="48"/>
      <c r="U34" s="56"/>
    </row>
    <row r="35" spans="1:21" s="31" customFormat="1" ht="18" customHeight="1" x14ac:dyDescent="0.15">
      <c r="A35" s="46"/>
      <c r="B35" s="42"/>
      <c r="C35" s="29"/>
      <c r="D35" s="29"/>
      <c r="E35" s="29"/>
      <c r="F35" s="30"/>
      <c r="G35" s="30"/>
      <c r="H35" s="45"/>
      <c r="I35" s="118"/>
      <c r="J35" s="119"/>
      <c r="K35" s="122"/>
      <c r="L35" s="123"/>
      <c r="M35" s="118"/>
      <c r="N35" s="118"/>
      <c r="O35" s="119"/>
      <c r="P35" s="121"/>
      <c r="Q35" s="119"/>
      <c r="R35" s="120"/>
      <c r="S35" s="121"/>
      <c r="T35" s="48"/>
      <c r="U35" s="56"/>
    </row>
    <row r="36" spans="1:21" s="31" customFormat="1" ht="18" customHeight="1" x14ac:dyDescent="0.15">
      <c r="A36" s="46"/>
      <c r="B36" s="42"/>
      <c r="C36" s="29"/>
      <c r="D36" s="29"/>
      <c r="E36" s="29"/>
      <c r="F36" s="30"/>
      <c r="G36" s="30"/>
      <c r="H36" s="45"/>
      <c r="I36" s="118"/>
      <c r="J36" s="119"/>
      <c r="K36" s="122"/>
      <c r="L36" s="123"/>
      <c r="M36" s="118"/>
      <c r="N36" s="118"/>
      <c r="O36" s="119"/>
      <c r="P36" s="121"/>
      <c r="Q36" s="119"/>
      <c r="R36" s="120"/>
      <c r="S36" s="121"/>
      <c r="T36" s="48"/>
      <c r="U36" s="56"/>
    </row>
    <row r="37" spans="1:21" s="31" customFormat="1" ht="18" customHeight="1" x14ac:dyDescent="0.15">
      <c r="A37" s="46"/>
      <c r="B37" s="42"/>
      <c r="C37" s="29"/>
      <c r="D37" s="29"/>
      <c r="E37" s="29"/>
      <c r="F37" s="30"/>
      <c r="G37" s="30"/>
      <c r="H37" s="45"/>
      <c r="I37" s="118"/>
      <c r="J37" s="119"/>
      <c r="K37" s="122"/>
      <c r="L37" s="123"/>
      <c r="M37" s="118"/>
      <c r="N37" s="118"/>
      <c r="O37" s="119"/>
      <c r="P37" s="121"/>
      <c r="Q37" s="119"/>
      <c r="R37" s="120"/>
      <c r="S37" s="121"/>
      <c r="T37" s="48"/>
      <c r="U37" s="56"/>
    </row>
    <row r="38" spans="1:21" s="31" customFormat="1" ht="18" customHeight="1" x14ac:dyDescent="0.15">
      <c r="A38" s="46"/>
      <c r="B38" s="42"/>
      <c r="C38" s="29"/>
      <c r="D38" s="29"/>
      <c r="E38" s="29"/>
      <c r="F38" s="30"/>
      <c r="G38" s="30"/>
      <c r="H38" s="45"/>
      <c r="I38" s="118"/>
      <c r="J38" s="119"/>
      <c r="K38" s="122"/>
      <c r="L38" s="123"/>
      <c r="M38" s="118"/>
      <c r="N38" s="118"/>
      <c r="O38" s="119"/>
      <c r="P38" s="121"/>
      <c r="Q38" s="119"/>
      <c r="R38" s="120"/>
      <c r="S38" s="121"/>
      <c r="T38" s="48"/>
      <c r="U38" s="56"/>
    </row>
    <row r="39" spans="1:21" s="31" customFormat="1" ht="18" customHeight="1" x14ac:dyDescent="0.15">
      <c r="A39" s="46"/>
      <c r="B39" s="42"/>
      <c r="C39" s="29"/>
      <c r="D39" s="29"/>
      <c r="E39" s="29"/>
      <c r="F39" s="30"/>
      <c r="G39" s="30"/>
      <c r="H39" s="45"/>
      <c r="I39" s="118"/>
      <c r="J39" s="119"/>
      <c r="K39" s="122"/>
      <c r="L39" s="123"/>
      <c r="M39" s="118"/>
      <c r="N39" s="118"/>
      <c r="O39" s="119"/>
      <c r="P39" s="121"/>
      <c r="Q39" s="119"/>
      <c r="R39" s="120"/>
      <c r="S39" s="121"/>
      <c r="T39" s="48"/>
      <c r="U39" s="56"/>
    </row>
    <row r="40" spans="1:21" s="31" customFormat="1" ht="18" customHeight="1" x14ac:dyDescent="0.15">
      <c r="A40" s="46"/>
      <c r="B40" s="42"/>
      <c r="C40" s="29"/>
      <c r="D40" s="29"/>
      <c r="E40" s="29"/>
      <c r="F40" s="30"/>
      <c r="G40" s="30"/>
      <c r="H40" s="45"/>
      <c r="I40" s="118"/>
      <c r="J40" s="119"/>
      <c r="K40" s="122"/>
      <c r="L40" s="123"/>
      <c r="M40" s="118"/>
      <c r="N40" s="118"/>
      <c r="O40" s="119"/>
      <c r="P40" s="121"/>
      <c r="Q40" s="119"/>
      <c r="R40" s="120"/>
      <c r="S40" s="121"/>
      <c r="T40" s="48"/>
      <c r="U40" s="56"/>
    </row>
    <row r="41" spans="1:21" s="31" customFormat="1" ht="18" customHeight="1" x14ac:dyDescent="0.15">
      <c r="A41" s="46"/>
      <c r="B41" s="42"/>
      <c r="C41" s="29"/>
      <c r="D41" s="29"/>
      <c r="E41" s="29"/>
      <c r="F41" s="30"/>
      <c r="G41" s="30"/>
      <c r="H41" s="45"/>
      <c r="I41" s="118"/>
      <c r="J41" s="119"/>
      <c r="K41" s="122"/>
      <c r="L41" s="123"/>
      <c r="M41" s="118"/>
      <c r="N41" s="118"/>
      <c r="O41" s="119"/>
      <c r="P41" s="121"/>
      <c r="Q41" s="119"/>
      <c r="R41" s="120"/>
      <c r="S41" s="121"/>
      <c r="T41" s="48"/>
      <c r="U41" s="56"/>
    </row>
    <row r="42" spans="1:21" s="31" customFormat="1" ht="18" customHeight="1" x14ac:dyDescent="0.15">
      <c r="A42" s="46"/>
      <c r="B42" s="42"/>
      <c r="C42" s="29"/>
      <c r="D42" s="29"/>
      <c r="E42" s="29"/>
      <c r="F42" s="30"/>
      <c r="G42" s="30"/>
      <c r="H42" s="45"/>
      <c r="I42" s="118"/>
      <c r="J42" s="119"/>
      <c r="K42" s="122"/>
      <c r="L42" s="123"/>
      <c r="M42" s="118"/>
      <c r="N42" s="118"/>
      <c r="O42" s="119"/>
      <c r="P42" s="121"/>
      <c r="Q42" s="119"/>
      <c r="R42" s="120"/>
      <c r="S42" s="121"/>
      <c r="T42" s="48"/>
      <c r="U42" s="56"/>
    </row>
    <row r="43" spans="1:21" s="31" customFormat="1" ht="18" customHeight="1" x14ac:dyDescent="0.15">
      <c r="A43" s="46"/>
      <c r="B43" s="42"/>
      <c r="C43" s="29"/>
      <c r="D43" s="29"/>
      <c r="E43" s="29"/>
      <c r="F43" s="30"/>
      <c r="G43" s="30"/>
      <c r="H43" s="45"/>
      <c r="I43" s="118"/>
      <c r="J43" s="119"/>
      <c r="K43" s="122"/>
      <c r="L43" s="123"/>
      <c r="M43" s="118"/>
      <c r="N43" s="118"/>
      <c r="O43" s="119"/>
      <c r="P43" s="121"/>
      <c r="Q43" s="119"/>
      <c r="R43" s="120"/>
      <c r="S43" s="121"/>
      <c r="T43" s="48"/>
      <c r="U43" s="56"/>
    </row>
    <row r="45" spans="1:21" ht="18" customHeight="1" x14ac:dyDescent="0.15">
      <c r="A45" s="116"/>
    </row>
  </sheetData>
  <mergeCells count="6">
    <mergeCell ref="U9:U10"/>
    <mergeCell ref="A9:A10"/>
    <mergeCell ref="I9:I10"/>
    <mergeCell ref="M9:M10"/>
    <mergeCell ref="T9:T10"/>
    <mergeCell ref="N9:N10"/>
  </mergeCells>
  <phoneticPr fontId="2"/>
  <pageMargins left="0.70866141732283472" right="0.70866141732283472" top="0.74803149606299213" bottom="0.74803149606299213" header="0.31496062992125984" footer="0.31496062992125984"/>
  <pageSetup paperSize="9" scale="70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'出動実績報告表 (記載例・記入番号一覧表)'!$I$47:$I$50</xm:f>
          </x14:formula1>
          <xm:sqref>I11:I43</xm:sqref>
        </x14:dataValidation>
        <x14:dataValidation type="list" allowBlank="1" showInputMessage="1" showErrorMessage="1">
          <x14:formula1>
            <xm:f>'出動実績報告表 (記載例・記入番号一覧表)'!$J$47:$J$52</xm:f>
          </x14:formula1>
          <xm:sqref>J11:J43</xm:sqref>
        </x14:dataValidation>
        <x14:dataValidation type="list" allowBlank="1" showInputMessage="1" showErrorMessage="1">
          <x14:formula1>
            <xm:f>'出動実績報告表 (記載例・記入番号一覧表)'!$M$47:$M$48</xm:f>
          </x14:formula1>
          <xm:sqref>M11:M43</xm:sqref>
        </x14:dataValidation>
        <x14:dataValidation type="list" allowBlank="1" showInputMessage="1" showErrorMessage="1">
          <x14:formula1>
            <xm:f>'出動実績報告表 (記載例・記入番号一覧表)'!$N$47:$N$49</xm:f>
          </x14:formula1>
          <xm:sqref>N11:N43</xm:sqref>
        </x14:dataValidation>
        <x14:dataValidation type="list" allowBlank="1" showInputMessage="1" showErrorMessage="1">
          <x14:formula1>
            <xm:f>'出動実績報告表 (記載例・記入番号一覧表)'!$O$47:$O$53</xm:f>
          </x14:formula1>
          <xm:sqref>O11:O43</xm:sqref>
        </x14:dataValidation>
        <x14:dataValidation type="list" allowBlank="1" showInputMessage="1" showErrorMessage="1">
          <x14:formula1>
            <xm:f>'出動実績報告表 (記載例・記入番号一覧表)'!$P$47:$P$52</xm:f>
          </x14:formula1>
          <xm:sqref>P11:P43</xm:sqref>
        </x14:dataValidation>
        <x14:dataValidation type="list" allowBlank="1" showInputMessage="1" showErrorMessage="1">
          <x14:formula1>
            <xm:f>'出動実績報告表 (記載例・記入番号一覧表)'!$Q$47:$Q$48</xm:f>
          </x14:formula1>
          <xm:sqref>Q11:Q43</xm:sqref>
        </x14:dataValidation>
        <x14:dataValidation type="list" allowBlank="1" showInputMessage="1" showErrorMessage="1">
          <x14:formula1>
            <xm:f>'出動実績報告表 (記載例・記入番号一覧表)'!$R$47:$R$51</xm:f>
          </x14:formula1>
          <xm:sqref>R11:R43</xm:sqref>
        </x14:dataValidation>
        <x14:dataValidation type="list" allowBlank="1" showInputMessage="1" showErrorMessage="1">
          <x14:formula1>
            <xm:f>'出動実績報告表 (記載例・記入番号一覧表)'!$S$47:$S$53</xm:f>
          </x14:formula1>
          <xm:sqref>S11:S43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U53"/>
  <sheetViews>
    <sheetView view="pageBreakPreview" zoomScale="70" zoomScaleNormal="70" zoomScaleSheetLayoutView="70" workbookViewId="0">
      <selection activeCell="I47" sqref="I47:S53"/>
    </sheetView>
  </sheetViews>
  <sheetFormatPr defaultColWidth="7.625" defaultRowHeight="18" customHeight="1" x14ac:dyDescent="0.15"/>
  <cols>
    <col min="1" max="1" width="34" style="3" bestFit="1" customWidth="1"/>
    <col min="2" max="5" width="6.125" style="3" customWidth="1"/>
    <col min="6" max="8" width="9.25" style="3" bestFit="1" customWidth="1"/>
    <col min="9" max="9" width="27.625" style="3" bestFit="1" customWidth="1"/>
    <col min="10" max="10" width="11.75" style="3" customWidth="1"/>
    <col min="11" max="11" width="10.875" style="3" bestFit="1" customWidth="1"/>
    <col min="12" max="12" width="6.5" style="3" bestFit="1" customWidth="1"/>
    <col min="13" max="13" width="10.125" style="3" bestFit="1" customWidth="1"/>
    <col min="14" max="14" width="23.125" style="3" customWidth="1"/>
    <col min="15" max="15" width="9.125" style="3" bestFit="1" customWidth="1"/>
    <col min="16" max="16" width="13.875" style="3" bestFit="1" customWidth="1"/>
    <col min="17" max="17" width="18.125" style="3" bestFit="1" customWidth="1"/>
    <col min="18" max="18" width="11.125" style="3" customWidth="1"/>
    <col min="19" max="19" width="26" style="3" bestFit="1" customWidth="1"/>
    <col min="20" max="20" width="11.125" style="6" bestFit="1" customWidth="1"/>
    <col min="21" max="21" width="31.375" style="3" bestFit="1" customWidth="1"/>
    <col min="22" max="16384" width="7.625" style="3"/>
  </cols>
  <sheetData>
    <row r="1" spans="1:21" ht="18" customHeight="1" x14ac:dyDescent="0.15">
      <c r="A1" s="27" t="s">
        <v>102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2"/>
      <c r="U1" s="1"/>
    </row>
    <row r="3" spans="1:21" ht="18" customHeight="1" x14ac:dyDescent="0.15">
      <c r="A3" s="4" t="s">
        <v>0</v>
      </c>
      <c r="B3" s="5"/>
      <c r="C3" s="5"/>
      <c r="D3" s="5"/>
      <c r="E3" s="5"/>
      <c r="F3" s="5" t="s">
        <v>1</v>
      </c>
      <c r="G3" s="5"/>
      <c r="H3" s="5"/>
      <c r="I3" s="5"/>
    </row>
    <row r="4" spans="1:21" ht="18" customHeight="1" x14ac:dyDescent="0.15">
      <c r="A4" s="7"/>
      <c r="B4" s="8"/>
      <c r="C4" s="8"/>
      <c r="D4" s="8"/>
      <c r="E4" s="8"/>
      <c r="F4" s="8"/>
      <c r="G4" s="8"/>
      <c r="H4" s="8"/>
    </row>
    <row r="5" spans="1:21" ht="18" customHeight="1" x14ac:dyDescent="0.15">
      <c r="A5" s="5" t="s">
        <v>2</v>
      </c>
      <c r="B5" s="5"/>
      <c r="C5" s="5"/>
      <c r="D5" s="5"/>
      <c r="E5" s="5"/>
      <c r="F5" s="5" t="s">
        <v>99</v>
      </c>
      <c r="G5" s="5"/>
      <c r="H5" s="5"/>
      <c r="I5" s="5"/>
    </row>
    <row r="6" spans="1:21" ht="18" customHeight="1" x14ac:dyDescent="0.15">
      <c r="A6" s="7"/>
      <c r="B6" s="8"/>
      <c r="C6" s="8"/>
      <c r="D6" s="8"/>
      <c r="E6" s="8"/>
      <c r="F6" s="8"/>
      <c r="G6" s="8"/>
      <c r="H6" s="8"/>
    </row>
    <row r="7" spans="1:21" ht="18" customHeight="1" x14ac:dyDescent="0.15">
      <c r="A7" s="5" t="s">
        <v>3</v>
      </c>
      <c r="B7" s="5"/>
      <c r="C7" s="5"/>
      <c r="D7" s="5"/>
      <c r="E7" s="5"/>
      <c r="F7" s="5" t="s">
        <v>4</v>
      </c>
      <c r="G7" s="5"/>
      <c r="H7" s="5"/>
      <c r="I7" s="5"/>
      <c r="J7" s="3" t="s">
        <v>105</v>
      </c>
    </row>
    <row r="8" spans="1:21" ht="18" customHeight="1" x14ac:dyDescent="0.15">
      <c r="J8" s="116"/>
    </row>
    <row r="9" spans="1:21" ht="18" customHeight="1" x14ac:dyDescent="0.15">
      <c r="A9" s="136" t="s">
        <v>23</v>
      </c>
      <c r="B9" s="9" t="s">
        <v>6</v>
      </c>
      <c r="C9" s="9"/>
      <c r="D9" s="9"/>
      <c r="E9" s="9"/>
      <c r="F9" s="9"/>
      <c r="G9" s="28"/>
      <c r="H9" s="28"/>
      <c r="I9" s="136" t="s">
        <v>7</v>
      </c>
      <c r="J9" s="9" t="s">
        <v>8</v>
      </c>
      <c r="K9" s="9"/>
      <c r="L9" s="9"/>
      <c r="M9" s="138" t="s">
        <v>98</v>
      </c>
      <c r="N9" s="138" t="s">
        <v>106</v>
      </c>
      <c r="O9" s="9" t="s">
        <v>9</v>
      </c>
      <c r="P9" s="9"/>
      <c r="Q9" s="9" t="s">
        <v>10</v>
      </c>
      <c r="R9" s="9"/>
      <c r="S9" s="9"/>
      <c r="T9" s="133" t="s">
        <v>11</v>
      </c>
      <c r="U9" s="138" t="s">
        <v>89</v>
      </c>
    </row>
    <row r="10" spans="1:21" s="12" customFormat="1" ht="23.25" thickBot="1" x14ac:dyDescent="0.2">
      <c r="A10" s="137"/>
      <c r="B10" s="10" t="s">
        <v>12</v>
      </c>
      <c r="C10" s="10" t="s">
        <v>13</v>
      </c>
      <c r="D10" s="10" t="s">
        <v>14</v>
      </c>
      <c r="E10" s="10" t="s">
        <v>15</v>
      </c>
      <c r="F10" s="11" t="s">
        <v>95</v>
      </c>
      <c r="G10" s="11" t="s">
        <v>96</v>
      </c>
      <c r="H10" s="11" t="s">
        <v>97</v>
      </c>
      <c r="I10" s="137"/>
      <c r="J10" s="10" t="s">
        <v>16</v>
      </c>
      <c r="K10" s="11" t="s">
        <v>17</v>
      </c>
      <c r="L10" s="11" t="s">
        <v>18</v>
      </c>
      <c r="M10" s="139"/>
      <c r="N10" s="139"/>
      <c r="O10" s="10" t="s">
        <v>19</v>
      </c>
      <c r="P10" s="10" t="s">
        <v>20</v>
      </c>
      <c r="Q10" s="10" t="s">
        <v>19</v>
      </c>
      <c r="R10" s="10" t="s">
        <v>21</v>
      </c>
      <c r="S10" s="10" t="s">
        <v>22</v>
      </c>
      <c r="T10" s="134"/>
      <c r="U10" s="137"/>
    </row>
    <row r="11" spans="1:21" ht="60" customHeight="1" thickTop="1" x14ac:dyDescent="0.15">
      <c r="A11" s="50" t="s">
        <v>104</v>
      </c>
      <c r="B11" s="39">
        <v>2017</v>
      </c>
      <c r="C11" s="39">
        <v>4</v>
      </c>
      <c r="D11" s="39">
        <v>1</v>
      </c>
      <c r="E11" s="39" t="s">
        <v>24</v>
      </c>
      <c r="F11" s="40">
        <v>0.21041666666666667</v>
      </c>
      <c r="G11" s="40">
        <v>0.22569444444444445</v>
      </c>
      <c r="H11" s="40">
        <v>0.26041666666666669</v>
      </c>
      <c r="I11" s="39">
        <v>3</v>
      </c>
      <c r="J11" s="39">
        <v>1</v>
      </c>
      <c r="K11" s="39" t="s">
        <v>100</v>
      </c>
      <c r="L11" s="39" t="s">
        <v>101</v>
      </c>
      <c r="M11" s="39">
        <v>1</v>
      </c>
      <c r="N11" s="39">
        <v>1</v>
      </c>
      <c r="O11" s="39">
        <v>2</v>
      </c>
      <c r="P11" s="39">
        <v>1</v>
      </c>
      <c r="Q11" s="39"/>
      <c r="R11" s="39"/>
      <c r="S11" s="39"/>
      <c r="T11" s="41">
        <v>67890</v>
      </c>
      <c r="U11" s="39"/>
    </row>
    <row r="12" spans="1:21" ht="60" customHeight="1" x14ac:dyDescent="0.15">
      <c r="A12" s="49" t="s">
        <v>103</v>
      </c>
      <c r="B12" s="35">
        <v>2017</v>
      </c>
      <c r="C12" s="35">
        <v>4</v>
      </c>
      <c r="D12" s="35">
        <v>2</v>
      </c>
      <c r="E12" s="35" t="s">
        <v>14</v>
      </c>
      <c r="F12" s="36">
        <v>0.83333333333333337</v>
      </c>
      <c r="G12" s="36">
        <v>0.85416666666666663</v>
      </c>
      <c r="H12" s="36">
        <v>0.875</v>
      </c>
      <c r="I12" s="35">
        <v>1</v>
      </c>
      <c r="J12" s="35">
        <v>2</v>
      </c>
      <c r="K12" s="35"/>
      <c r="L12" s="37">
        <v>10.5</v>
      </c>
      <c r="M12" s="35">
        <v>2</v>
      </c>
      <c r="N12" s="35">
        <v>3</v>
      </c>
      <c r="O12" s="35">
        <v>4</v>
      </c>
      <c r="P12" s="35">
        <v>2</v>
      </c>
      <c r="Q12" s="35">
        <v>1</v>
      </c>
      <c r="R12" s="35">
        <v>3</v>
      </c>
      <c r="S12" s="35">
        <v>4</v>
      </c>
      <c r="T12" s="38">
        <v>12345</v>
      </c>
      <c r="U12" s="35"/>
    </row>
    <row r="13" spans="1:21" s="13" customFormat="1" ht="18" customHeight="1" x14ac:dyDescent="0.15">
      <c r="T13" s="14"/>
    </row>
    <row r="14" spans="1:21" s="20" customFormat="1" ht="18" customHeight="1" thickBot="1" x14ac:dyDescent="0.2">
      <c r="A14" s="15"/>
      <c r="B14" s="15"/>
      <c r="C14" s="15"/>
      <c r="D14" s="15"/>
      <c r="E14" s="15"/>
      <c r="F14" s="15"/>
      <c r="G14" s="15"/>
      <c r="H14" s="15"/>
      <c r="I14" s="16" t="s">
        <v>25</v>
      </c>
      <c r="J14" s="17" t="s">
        <v>25</v>
      </c>
      <c r="K14" s="32" t="s">
        <v>90</v>
      </c>
      <c r="L14" s="15"/>
      <c r="M14" s="16" t="s">
        <v>25</v>
      </c>
      <c r="N14" s="16" t="s">
        <v>25</v>
      </c>
      <c r="O14" s="18" t="s">
        <v>25</v>
      </c>
      <c r="P14" s="16"/>
      <c r="Q14" s="16" t="s">
        <v>25</v>
      </c>
      <c r="R14" s="16"/>
      <c r="S14" s="16"/>
      <c r="T14" s="19"/>
      <c r="U14" s="15"/>
    </row>
    <row r="15" spans="1:21" s="20" customFormat="1" ht="18" customHeight="1" thickTop="1" x14ac:dyDescent="0.15">
      <c r="A15" s="15"/>
      <c r="B15" s="15"/>
      <c r="C15" s="15"/>
      <c r="D15" s="15"/>
      <c r="E15" s="15"/>
      <c r="F15" s="15"/>
      <c r="G15" s="15"/>
      <c r="H15" s="15"/>
      <c r="I15" s="22" t="s">
        <v>26</v>
      </c>
      <c r="J15" s="22" t="s">
        <v>27</v>
      </c>
      <c r="K15" s="33" t="s">
        <v>91</v>
      </c>
      <c r="L15" s="15"/>
      <c r="M15" s="23" t="s">
        <v>30</v>
      </c>
      <c r="N15" s="23" t="s">
        <v>107</v>
      </c>
      <c r="O15" s="135" t="s">
        <v>28</v>
      </c>
      <c r="P15" s="22" t="s">
        <v>29</v>
      </c>
      <c r="Q15" s="135" t="s">
        <v>31</v>
      </c>
      <c r="R15" s="135" t="s">
        <v>32</v>
      </c>
      <c r="S15" s="22" t="s">
        <v>33</v>
      </c>
      <c r="T15" s="24"/>
      <c r="U15" s="15"/>
    </row>
    <row r="16" spans="1:21" s="20" customFormat="1" ht="18" customHeight="1" x14ac:dyDescent="0.15">
      <c r="A16" s="15"/>
      <c r="B16" s="15"/>
      <c r="C16" s="15"/>
      <c r="D16" s="15"/>
      <c r="E16" s="15"/>
      <c r="F16" s="15"/>
      <c r="G16" s="15"/>
      <c r="H16" s="15"/>
      <c r="I16" s="25" t="s">
        <v>34</v>
      </c>
      <c r="J16" s="25" t="s">
        <v>35</v>
      </c>
      <c r="K16" s="34" t="s">
        <v>92</v>
      </c>
      <c r="L16" s="15"/>
      <c r="M16" s="26" t="s">
        <v>37</v>
      </c>
      <c r="N16" s="23" t="s">
        <v>108</v>
      </c>
      <c r="O16" s="132"/>
      <c r="P16" s="25" t="s">
        <v>36</v>
      </c>
      <c r="Q16" s="132"/>
      <c r="R16" s="132"/>
      <c r="S16" s="25" t="s">
        <v>38</v>
      </c>
      <c r="T16" s="24"/>
      <c r="U16" s="15"/>
    </row>
    <row r="17" spans="1:21" s="20" customFormat="1" ht="18" customHeight="1" x14ac:dyDescent="0.15">
      <c r="A17" s="15"/>
      <c r="B17" s="15"/>
      <c r="C17" s="15"/>
      <c r="D17" s="15"/>
      <c r="E17" s="15"/>
      <c r="F17" s="15"/>
      <c r="G17" s="15"/>
      <c r="H17" s="15"/>
      <c r="I17" s="25" t="s">
        <v>39</v>
      </c>
      <c r="J17" s="25" t="s">
        <v>40</v>
      </c>
      <c r="K17" s="34" t="s">
        <v>93</v>
      </c>
      <c r="L17" s="15"/>
      <c r="M17" s="15"/>
      <c r="N17" s="23" t="s">
        <v>109</v>
      </c>
      <c r="O17" s="132"/>
      <c r="P17" s="25" t="s">
        <v>41</v>
      </c>
      <c r="Q17" s="132"/>
      <c r="R17" s="132"/>
      <c r="S17" s="25" t="s">
        <v>42</v>
      </c>
      <c r="T17" s="24"/>
      <c r="U17" s="15"/>
    </row>
    <row r="18" spans="1:21" s="20" customFormat="1" ht="18" customHeight="1" x14ac:dyDescent="0.15">
      <c r="A18" s="15"/>
      <c r="B18" s="15"/>
      <c r="C18" s="15"/>
      <c r="D18" s="15"/>
      <c r="E18" s="15"/>
      <c r="F18" s="15"/>
      <c r="G18" s="15"/>
      <c r="H18" s="15"/>
      <c r="I18" s="25" t="s">
        <v>43</v>
      </c>
      <c r="J18" s="25" t="s">
        <v>44</v>
      </c>
      <c r="K18" s="34" t="s">
        <v>94</v>
      </c>
      <c r="L18" s="15"/>
      <c r="M18" s="15"/>
      <c r="N18" s="15"/>
      <c r="O18" s="132" t="s">
        <v>45</v>
      </c>
      <c r="P18" s="25" t="s">
        <v>46</v>
      </c>
      <c r="Q18" s="132"/>
      <c r="R18" s="132"/>
      <c r="S18" s="25" t="s">
        <v>47</v>
      </c>
      <c r="T18" s="24"/>
      <c r="U18" s="15"/>
    </row>
    <row r="19" spans="1:21" s="20" customFormat="1" ht="18" customHeight="1" x14ac:dyDescent="0.15">
      <c r="A19" s="15"/>
      <c r="B19" s="15"/>
      <c r="C19" s="15"/>
      <c r="D19" s="15"/>
      <c r="E19" s="15"/>
      <c r="F19" s="15"/>
      <c r="G19" s="15"/>
      <c r="H19" s="15"/>
      <c r="I19" s="15"/>
      <c r="J19" s="25" t="s">
        <v>48</v>
      </c>
      <c r="K19" s="21"/>
      <c r="L19" s="15"/>
      <c r="M19" s="15"/>
      <c r="N19" s="15"/>
      <c r="O19" s="132"/>
      <c r="P19" s="25" t="s">
        <v>49</v>
      </c>
      <c r="Q19" s="132"/>
      <c r="R19" s="132"/>
      <c r="S19" s="25" t="s">
        <v>50</v>
      </c>
      <c r="T19" s="24"/>
      <c r="U19" s="15"/>
    </row>
    <row r="20" spans="1:21" s="20" customFormat="1" ht="18" customHeight="1" x14ac:dyDescent="0.15">
      <c r="A20" s="15"/>
      <c r="B20" s="15"/>
      <c r="C20" s="15"/>
      <c r="D20" s="15"/>
      <c r="E20" s="15"/>
      <c r="F20" s="15"/>
      <c r="G20" s="15"/>
      <c r="H20" s="15"/>
      <c r="I20" s="15"/>
      <c r="J20" s="25" t="s">
        <v>88</v>
      </c>
      <c r="K20" s="15"/>
      <c r="L20" s="15"/>
      <c r="M20" s="15"/>
      <c r="N20" s="15"/>
      <c r="O20" s="132" t="s">
        <v>51</v>
      </c>
      <c r="P20" s="25" t="s">
        <v>52</v>
      </c>
      <c r="Q20" s="132"/>
      <c r="R20" s="132" t="s">
        <v>53</v>
      </c>
      <c r="S20" s="25" t="s">
        <v>54</v>
      </c>
      <c r="T20" s="24"/>
      <c r="U20" s="15"/>
    </row>
    <row r="21" spans="1:21" s="20" customFormat="1" ht="18" customHeight="1" x14ac:dyDescent="0.15">
      <c r="A21" s="15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32"/>
      <c r="P21" s="25" t="s">
        <v>55</v>
      </c>
      <c r="Q21" s="132"/>
      <c r="R21" s="132"/>
      <c r="S21" s="25" t="s">
        <v>50</v>
      </c>
      <c r="T21" s="24"/>
      <c r="U21" s="15"/>
    </row>
    <row r="22" spans="1:21" s="20" customFormat="1" ht="18" customHeight="1" x14ac:dyDescent="0.15">
      <c r="A22" s="15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32"/>
      <c r="P22" s="25" t="s">
        <v>56</v>
      </c>
      <c r="Q22" s="132"/>
      <c r="R22" s="132" t="s">
        <v>57</v>
      </c>
      <c r="S22" s="25" t="s">
        <v>58</v>
      </c>
      <c r="T22" s="24"/>
      <c r="U22" s="15"/>
    </row>
    <row r="23" spans="1:21" s="20" customFormat="1" ht="18" customHeight="1" x14ac:dyDescent="0.15">
      <c r="A23" s="15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32" t="s">
        <v>59</v>
      </c>
      <c r="P23" s="25" t="s">
        <v>60</v>
      </c>
      <c r="Q23" s="132"/>
      <c r="R23" s="132"/>
      <c r="S23" s="25" t="s">
        <v>61</v>
      </c>
      <c r="T23" s="24"/>
      <c r="U23" s="15"/>
    </row>
    <row r="24" spans="1:21" s="20" customFormat="1" ht="18" customHeight="1" x14ac:dyDescent="0.15">
      <c r="A24" s="15"/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32"/>
      <c r="P24" s="25" t="s">
        <v>62</v>
      </c>
      <c r="Q24" s="132"/>
      <c r="R24" s="132"/>
      <c r="S24" s="25" t="s">
        <v>63</v>
      </c>
      <c r="T24" s="24"/>
      <c r="U24" s="15"/>
    </row>
    <row r="25" spans="1:21" s="20" customFormat="1" ht="18" customHeight="1" x14ac:dyDescent="0.15">
      <c r="A25" s="15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32"/>
      <c r="P25" s="25" t="s">
        <v>64</v>
      </c>
      <c r="Q25" s="132"/>
      <c r="R25" s="132"/>
      <c r="S25" s="25" t="s">
        <v>65</v>
      </c>
      <c r="T25" s="24"/>
      <c r="U25" s="15"/>
    </row>
    <row r="26" spans="1:21" s="20" customFormat="1" ht="18" customHeight="1" x14ac:dyDescent="0.15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32"/>
      <c r="P26" s="25" t="s">
        <v>66</v>
      </c>
      <c r="Q26" s="132"/>
      <c r="R26" s="132"/>
      <c r="S26" s="25" t="s">
        <v>50</v>
      </c>
      <c r="T26" s="24"/>
      <c r="U26" s="15"/>
    </row>
    <row r="27" spans="1:21" s="20" customFormat="1" ht="18" customHeight="1" x14ac:dyDescent="0.15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25" t="s">
        <v>67</v>
      </c>
      <c r="P27" s="25" t="s">
        <v>68</v>
      </c>
      <c r="Q27" s="132"/>
      <c r="R27" s="132" t="s">
        <v>69</v>
      </c>
      <c r="S27" s="25" t="s">
        <v>70</v>
      </c>
      <c r="T27" s="24"/>
      <c r="U27" s="15"/>
    </row>
    <row r="28" spans="1:21" s="20" customFormat="1" ht="18" customHeight="1" x14ac:dyDescent="0.15">
      <c r="A28" s="15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25" t="s">
        <v>43</v>
      </c>
      <c r="P28" s="25" t="s">
        <v>43</v>
      </c>
      <c r="Q28" s="132"/>
      <c r="R28" s="132"/>
      <c r="S28" s="25" t="s">
        <v>71</v>
      </c>
      <c r="T28" s="24"/>
      <c r="U28" s="15"/>
    </row>
    <row r="29" spans="1:21" s="20" customFormat="1" ht="18" customHeight="1" x14ac:dyDescent="0.15">
      <c r="A29" s="15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25" t="s">
        <v>72</v>
      </c>
      <c r="P29" s="25" t="s">
        <v>72</v>
      </c>
      <c r="Q29" s="132"/>
      <c r="R29" s="132"/>
      <c r="S29" s="25" t="s">
        <v>73</v>
      </c>
      <c r="T29" s="24"/>
      <c r="U29" s="15"/>
    </row>
    <row r="30" spans="1:21" s="20" customFormat="1" ht="18" customHeight="1" x14ac:dyDescent="0.15">
      <c r="A30" s="15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32"/>
      <c r="R30" s="132"/>
      <c r="S30" s="25" t="s">
        <v>74</v>
      </c>
      <c r="T30" s="24"/>
      <c r="U30" s="15"/>
    </row>
    <row r="31" spans="1:21" s="20" customFormat="1" ht="18" customHeight="1" x14ac:dyDescent="0.15">
      <c r="A31" s="15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32"/>
      <c r="R31" s="132"/>
      <c r="S31" s="25" t="s">
        <v>75</v>
      </c>
      <c r="T31" s="24"/>
      <c r="U31" s="15"/>
    </row>
    <row r="32" spans="1:21" s="20" customFormat="1" ht="18" customHeight="1" x14ac:dyDescent="0.15">
      <c r="A32" s="15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32"/>
      <c r="R32" s="132"/>
      <c r="S32" s="25" t="s">
        <v>50</v>
      </c>
      <c r="T32" s="24"/>
      <c r="U32" s="15"/>
    </row>
    <row r="33" spans="1:21" s="20" customFormat="1" ht="18" customHeight="1" x14ac:dyDescent="0.15">
      <c r="A33" s="15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32"/>
      <c r="R33" s="25" t="s">
        <v>50</v>
      </c>
      <c r="S33" s="25" t="s">
        <v>50</v>
      </c>
      <c r="T33" s="24"/>
      <c r="U33" s="15"/>
    </row>
    <row r="34" spans="1:21" s="20" customFormat="1" ht="18" customHeight="1" x14ac:dyDescent="0.15">
      <c r="A34" s="15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32" t="s">
        <v>76</v>
      </c>
      <c r="R34" s="132" t="s">
        <v>77</v>
      </c>
      <c r="S34" s="25" t="s">
        <v>78</v>
      </c>
      <c r="T34" s="24"/>
      <c r="U34" s="15"/>
    </row>
    <row r="35" spans="1:21" s="20" customFormat="1" ht="18" customHeight="1" x14ac:dyDescent="0.15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32"/>
      <c r="R35" s="132"/>
      <c r="S35" s="25" t="s">
        <v>79</v>
      </c>
      <c r="T35" s="24"/>
      <c r="U35" s="15"/>
    </row>
    <row r="36" spans="1:21" s="20" customFormat="1" ht="18" customHeight="1" x14ac:dyDescent="0.15">
      <c r="A36" s="15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32"/>
      <c r="R36" s="132"/>
      <c r="S36" s="25" t="s">
        <v>80</v>
      </c>
      <c r="T36" s="24"/>
      <c r="U36" s="15"/>
    </row>
    <row r="37" spans="1:21" s="20" customFormat="1" ht="18" customHeight="1" x14ac:dyDescent="0.15">
      <c r="A37" s="15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32"/>
      <c r="R37" s="132"/>
      <c r="S37" s="25" t="s">
        <v>81</v>
      </c>
      <c r="T37" s="24"/>
      <c r="U37" s="15"/>
    </row>
    <row r="38" spans="1:21" s="20" customFormat="1" ht="18" customHeight="1" x14ac:dyDescent="0.15">
      <c r="A38" s="15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32"/>
      <c r="R38" s="132"/>
      <c r="S38" s="25" t="s">
        <v>82</v>
      </c>
      <c r="T38" s="24"/>
      <c r="U38" s="15"/>
    </row>
    <row r="39" spans="1:21" s="20" customFormat="1" ht="18" customHeight="1" x14ac:dyDescent="0.15">
      <c r="A39" s="15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32"/>
      <c r="R39" s="132"/>
      <c r="S39" s="25" t="s">
        <v>83</v>
      </c>
      <c r="T39" s="24"/>
      <c r="U39" s="15"/>
    </row>
    <row r="40" spans="1:21" s="20" customFormat="1" ht="18" customHeight="1" x14ac:dyDescent="0.15">
      <c r="A40" s="15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32"/>
      <c r="R40" s="132"/>
      <c r="S40" s="25" t="s">
        <v>50</v>
      </c>
      <c r="T40" s="24"/>
      <c r="U40" s="15"/>
    </row>
    <row r="41" spans="1:21" s="20" customFormat="1" ht="18" customHeight="1" x14ac:dyDescent="0.15">
      <c r="A41" s="15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32"/>
      <c r="R41" s="132" t="s">
        <v>50</v>
      </c>
      <c r="S41" s="25" t="s">
        <v>84</v>
      </c>
      <c r="T41" s="24"/>
      <c r="U41" s="15"/>
    </row>
    <row r="42" spans="1:21" s="20" customFormat="1" ht="18" customHeight="1" x14ac:dyDescent="0.15">
      <c r="A42" s="15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32"/>
      <c r="R42" s="132"/>
      <c r="S42" s="25" t="s">
        <v>85</v>
      </c>
      <c r="T42" s="24"/>
      <c r="U42" s="15"/>
    </row>
    <row r="43" spans="1:21" s="20" customFormat="1" ht="18" customHeight="1" x14ac:dyDescent="0.15">
      <c r="A43" s="15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32"/>
      <c r="R43" s="132"/>
      <c r="S43" s="25" t="s">
        <v>86</v>
      </c>
      <c r="T43" s="24"/>
      <c r="U43" s="15"/>
    </row>
    <row r="44" spans="1:21" s="20" customFormat="1" ht="18" customHeight="1" x14ac:dyDescent="0.15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32"/>
      <c r="R44" s="132"/>
      <c r="S44" s="25" t="s">
        <v>87</v>
      </c>
      <c r="T44" s="24"/>
      <c r="U44" s="15"/>
    </row>
    <row r="45" spans="1:21" s="20" customFormat="1" ht="18" customHeight="1" x14ac:dyDescent="0.15">
      <c r="A45" s="15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32"/>
      <c r="R45" s="132"/>
      <c r="S45" s="25" t="s">
        <v>50</v>
      </c>
      <c r="T45" s="24"/>
      <c r="U45" s="15"/>
    </row>
    <row r="46" spans="1:21" s="20" customFormat="1" ht="18" customHeight="1" x14ac:dyDescent="0.15">
      <c r="A46" s="15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21"/>
      <c r="R46" s="21"/>
      <c r="S46" s="21"/>
      <c r="T46" s="24"/>
      <c r="U46" s="15"/>
    </row>
    <row r="47" spans="1:21" ht="18" customHeight="1" x14ac:dyDescent="0.15">
      <c r="I47" s="117">
        <v>1</v>
      </c>
      <c r="J47" s="117">
        <v>1</v>
      </c>
      <c r="K47" s="117"/>
      <c r="L47" s="117"/>
      <c r="M47" s="117">
        <v>1</v>
      </c>
      <c r="N47" s="117">
        <v>1</v>
      </c>
      <c r="O47" s="117">
        <v>1</v>
      </c>
      <c r="P47" s="117">
        <v>1</v>
      </c>
      <c r="Q47" s="117">
        <v>1</v>
      </c>
      <c r="R47" s="117">
        <v>1</v>
      </c>
      <c r="S47" s="117">
        <v>1</v>
      </c>
    </row>
    <row r="48" spans="1:21" ht="18" customHeight="1" x14ac:dyDescent="0.15">
      <c r="I48" s="117">
        <v>2</v>
      </c>
      <c r="J48" s="117">
        <v>2</v>
      </c>
      <c r="K48" s="117"/>
      <c r="L48" s="117"/>
      <c r="M48" s="117">
        <v>2</v>
      </c>
      <c r="N48" s="117">
        <v>2</v>
      </c>
      <c r="O48" s="117">
        <v>2</v>
      </c>
      <c r="P48" s="117">
        <v>2</v>
      </c>
      <c r="Q48" s="117">
        <v>2</v>
      </c>
      <c r="R48" s="117">
        <v>2</v>
      </c>
      <c r="S48" s="117">
        <v>2</v>
      </c>
    </row>
    <row r="49" spans="9:19" ht="18" customHeight="1" x14ac:dyDescent="0.15">
      <c r="I49" s="117">
        <v>3</v>
      </c>
      <c r="J49" s="117">
        <v>3</v>
      </c>
      <c r="K49" s="117"/>
      <c r="L49" s="117"/>
      <c r="M49" s="117"/>
      <c r="N49" s="117">
        <v>3</v>
      </c>
      <c r="O49" s="117">
        <v>3</v>
      </c>
      <c r="P49" s="117">
        <v>3</v>
      </c>
      <c r="Q49" s="117"/>
      <c r="R49" s="117">
        <v>3</v>
      </c>
      <c r="S49" s="117">
        <v>3</v>
      </c>
    </row>
    <row r="50" spans="9:19" ht="18" customHeight="1" x14ac:dyDescent="0.15">
      <c r="I50" s="117">
        <v>9</v>
      </c>
      <c r="J50" s="117">
        <v>4</v>
      </c>
      <c r="K50" s="117"/>
      <c r="L50" s="117"/>
      <c r="M50" s="117"/>
      <c r="N50" s="117"/>
      <c r="O50" s="117">
        <v>4</v>
      </c>
      <c r="P50" s="117">
        <v>4</v>
      </c>
      <c r="Q50" s="117"/>
      <c r="R50" s="117">
        <v>4</v>
      </c>
      <c r="S50" s="117">
        <v>4</v>
      </c>
    </row>
    <row r="51" spans="9:19" ht="18" customHeight="1" x14ac:dyDescent="0.15">
      <c r="I51" s="117"/>
      <c r="J51" s="117">
        <v>9</v>
      </c>
      <c r="K51" s="117"/>
      <c r="L51" s="117"/>
      <c r="M51" s="117"/>
      <c r="N51" s="117"/>
      <c r="O51" s="117">
        <v>5</v>
      </c>
      <c r="P51" s="117">
        <v>9</v>
      </c>
      <c r="Q51" s="117"/>
      <c r="R51" s="117">
        <v>9</v>
      </c>
      <c r="S51" s="117">
        <v>5</v>
      </c>
    </row>
    <row r="52" spans="9:19" ht="18" customHeight="1" x14ac:dyDescent="0.15">
      <c r="I52" s="117"/>
      <c r="J52" s="117">
        <v>0</v>
      </c>
      <c r="K52" s="117"/>
      <c r="L52" s="117"/>
      <c r="M52" s="117"/>
      <c r="N52" s="117"/>
      <c r="O52" s="117">
        <v>9</v>
      </c>
      <c r="P52" s="117">
        <v>0</v>
      </c>
      <c r="Q52" s="117"/>
      <c r="R52" s="117"/>
      <c r="S52" s="117">
        <v>6</v>
      </c>
    </row>
    <row r="53" spans="9:19" ht="18" customHeight="1" x14ac:dyDescent="0.15">
      <c r="I53" s="117"/>
      <c r="J53" s="117"/>
      <c r="K53" s="117"/>
      <c r="L53" s="117"/>
      <c r="M53" s="117"/>
      <c r="N53" s="117"/>
      <c r="O53" s="117">
        <v>0</v>
      </c>
      <c r="P53" s="117"/>
      <c r="Q53" s="117"/>
      <c r="R53" s="117"/>
      <c r="S53" s="117">
        <v>9</v>
      </c>
    </row>
  </sheetData>
  <mergeCells count="18">
    <mergeCell ref="A9:A10"/>
    <mergeCell ref="I9:I10"/>
    <mergeCell ref="M9:M10"/>
    <mergeCell ref="N9:N10"/>
    <mergeCell ref="U9:U10"/>
    <mergeCell ref="Q34:Q45"/>
    <mergeCell ref="R34:R40"/>
    <mergeCell ref="R41:R45"/>
    <mergeCell ref="T9:T10"/>
    <mergeCell ref="O15:O17"/>
    <mergeCell ref="Q15:Q33"/>
    <mergeCell ref="R15:R19"/>
    <mergeCell ref="O18:O19"/>
    <mergeCell ref="O20:O22"/>
    <mergeCell ref="R20:R21"/>
    <mergeCell ref="R22:R26"/>
    <mergeCell ref="O23:O26"/>
    <mergeCell ref="R27:R32"/>
  </mergeCells>
  <phoneticPr fontId="2"/>
  <pageMargins left="0.7" right="0.7" top="0.75" bottom="0.75" header="0.3" footer="0.3"/>
  <pageSetup paperSize="9" scale="44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57"/>
  <sheetViews>
    <sheetView showGridLines="0" zoomScale="70" zoomScaleNormal="70" zoomScaleSheetLayoutView="70" workbookViewId="0">
      <selection sqref="A1:U50"/>
    </sheetView>
  </sheetViews>
  <sheetFormatPr defaultRowHeight="14.25" x14ac:dyDescent="0.15"/>
  <cols>
    <col min="1" max="1" width="3.5" style="57" customWidth="1"/>
    <col min="2" max="2" width="3.5" style="58" customWidth="1"/>
    <col min="3" max="3" width="5.375" style="58" customWidth="1"/>
    <col min="4" max="4" width="26.5" style="58" customWidth="1"/>
    <col min="5" max="7" width="7.375" style="57" customWidth="1"/>
    <col min="8" max="10" width="6.75" style="57" customWidth="1"/>
    <col min="11" max="14" width="7.375" style="57" customWidth="1"/>
    <col min="15" max="15" width="6.75" style="57" customWidth="1"/>
    <col min="16" max="17" width="7.375" style="57" customWidth="1"/>
    <col min="18" max="19" width="6.75" style="57" customWidth="1"/>
    <col min="20" max="20" width="8.125" style="57" customWidth="1"/>
    <col min="21" max="21" width="8.5" style="57" customWidth="1"/>
    <col min="22" max="256" width="9" style="57"/>
    <col min="257" max="258" width="3.5" style="57" customWidth="1"/>
    <col min="259" max="259" width="5.375" style="57" customWidth="1"/>
    <col min="260" max="260" width="26.5" style="57" customWidth="1"/>
    <col min="261" max="263" width="7.375" style="57" customWidth="1"/>
    <col min="264" max="266" width="6.75" style="57" customWidth="1"/>
    <col min="267" max="270" width="7.375" style="57" customWidth="1"/>
    <col min="271" max="271" width="6.75" style="57" customWidth="1"/>
    <col min="272" max="273" width="7.375" style="57" customWidth="1"/>
    <col min="274" max="275" width="6.75" style="57" customWidth="1"/>
    <col min="276" max="276" width="8.125" style="57" customWidth="1"/>
    <col min="277" max="277" width="8.5" style="57" customWidth="1"/>
    <col min="278" max="512" width="9" style="57"/>
    <col min="513" max="514" width="3.5" style="57" customWidth="1"/>
    <col min="515" max="515" width="5.375" style="57" customWidth="1"/>
    <col min="516" max="516" width="26.5" style="57" customWidth="1"/>
    <col min="517" max="519" width="7.375" style="57" customWidth="1"/>
    <col min="520" max="522" width="6.75" style="57" customWidth="1"/>
    <col min="523" max="526" width="7.375" style="57" customWidth="1"/>
    <col min="527" max="527" width="6.75" style="57" customWidth="1"/>
    <col min="528" max="529" width="7.375" style="57" customWidth="1"/>
    <col min="530" max="531" width="6.75" style="57" customWidth="1"/>
    <col min="532" max="532" width="8.125" style="57" customWidth="1"/>
    <col min="533" max="533" width="8.5" style="57" customWidth="1"/>
    <col min="534" max="768" width="9" style="57"/>
    <col min="769" max="770" width="3.5" style="57" customWidth="1"/>
    <col min="771" max="771" width="5.375" style="57" customWidth="1"/>
    <col min="772" max="772" width="26.5" style="57" customWidth="1"/>
    <col min="773" max="775" width="7.375" style="57" customWidth="1"/>
    <col min="776" max="778" width="6.75" style="57" customWidth="1"/>
    <col min="779" max="782" width="7.375" style="57" customWidth="1"/>
    <col min="783" max="783" width="6.75" style="57" customWidth="1"/>
    <col min="784" max="785" width="7.375" style="57" customWidth="1"/>
    <col min="786" max="787" width="6.75" style="57" customWidth="1"/>
    <col min="788" max="788" width="8.125" style="57" customWidth="1"/>
    <col min="789" max="789" width="8.5" style="57" customWidth="1"/>
    <col min="790" max="1024" width="9" style="57"/>
    <col min="1025" max="1026" width="3.5" style="57" customWidth="1"/>
    <col min="1027" max="1027" width="5.375" style="57" customWidth="1"/>
    <col min="1028" max="1028" width="26.5" style="57" customWidth="1"/>
    <col min="1029" max="1031" width="7.375" style="57" customWidth="1"/>
    <col min="1032" max="1034" width="6.75" style="57" customWidth="1"/>
    <col min="1035" max="1038" width="7.375" style="57" customWidth="1"/>
    <col min="1039" max="1039" width="6.75" style="57" customWidth="1"/>
    <col min="1040" max="1041" width="7.375" style="57" customWidth="1"/>
    <col min="1042" max="1043" width="6.75" style="57" customWidth="1"/>
    <col min="1044" max="1044" width="8.125" style="57" customWidth="1"/>
    <col min="1045" max="1045" width="8.5" style="57" customWidth="1"/>
    <col min="1046" max="1280" width="9" style="57"/>
    <col min="1281" max="1282" width="3.5" style="57" customWidth="1"/>
    <col min="1283" max="1283" width="5.375" style="57" customWidth="1"/>
    <col min="1284" max="1284" width="26.5" style="57" customWidth="1"/>
    <col min="1285" max="1287" width="7.375" style="57" customWidth="1"/>
    <col min="1288" max="1290" width="6.75" style="57" customWidth="1"/>
    <col min="1291" max="1294" width="7.375" style="57" customWidth="1"/>
    <col min="1295" max="1295" width="6.75" style="57" customWidth="1"/>
    <col min="1296" max="1297" width="7.375" style="57" customWidth="1"/>
    <col min="1298" max="1299" width="6.75" style="57" customWidth="1"/>
    <col min="1300" max="1300" width="8.125" style="57" customWidth="1"/>
    <col min="1301" max="1301" width="8.5" style="57" customWidth="1"/>
    <col min="1302" max="1536" width="9" style="57"/>
    <col min="1537" max="1538" width="3.5" style="57" customWidth="1"/>
    <col min="1539" max="1539" width="5.375" style="57" customWidth="1"/>
    <col min="1540" max="1540" width="26.5" style="57" customWidth="1"/>
    <col min="1541" max="1543" width="7.375" style="57" customWidth="1"/>
    <col min="1544" max="1546" width="6.75" style="57" customWidth="1"/>
    <col min="1547" max="1550" width="7.375" style="57" customWidth="1"/>
    <col min="1551" max="1551" width="6.75" style="57" customWidth="1"/>
    <col min="1552" max="1553" width="7.375" style="57" customWidth="1"/>
    <col min="1554" max="1555" width="6.75" style="57" customWidth="1"/>
    <col min="1556" max="1556" width="8.125" style="57" customWidth="1"/>
    <col min="1557" max="1557" width="8.5" style="57" customWidth="1"/>
    <col min="1558" max="1792" width="9" style="57"/>
    <col min="1793" max="1794" width="3.5" style="57" customWidth="1"/>
    <col min="1795" max="1795" width="5.375" style="57" customWidth="1"/>
    <col min="1796" max="1796" width="26.5" style="57" customWidth="1"/>
    <col min="1797" max="1799" width="7.375" style="57" customWidth="1"/>
    <col min="1800" max="1802" width="6.75" style="57" customWidth="1"/>
    <col min="1803" max="1806" width="7.375" style="57" customWidth="1"/>
    <col min="1807" max="1807" width="6.75" style="57" customWidth="1"/>
    <col min="1808" max="1809" width="7.375" style="57" customWidth="1"/>
    <col min="1810" max="1811" width="6.75" style="57" customWidth="1"/>
    <col min="1812" max="1812" width="8.125" style="57" customWidth="1"/>
    <col min="1813" max="1813" width="8.5" style="57" customWidth="1"/>
    <col min="1814" max="2048" width="9" style="57"/>
    <col min="2049" max="2050" width="3.5" style="57" customWidth="1"/>
    <col min="2051" max="2051" width="5.375" style="57" customWidth="1"/>
    <col min="2052" max="2052" width="26.5" style="57" customWidth="1"/>
    <col min="2053" max="2055" width="7.375" style="57" customWidth="1"/>
    <col min="2056" max="2058" width="6.75" style="57" customWidth="1"/>
    <col min="2059" max="2062" width="7.375" style="57" customWidth="1"/>
    <col min="2063" max="2063" width="6.75" style="57" customWidth="1"/>
    <col min="2064" max="2065" width="7.375" style="57" customWidth="1"/>
    <col min="2066" max="2067" width="6.75" style="57" customWidth="1"/>
    <col min="2068" max="2068" width="8.125" style="57" customWidth="1"/>
    <col min="2069" max="2069" width="8.5" style="57" customWidth="1"/>
    <col min="2070" max="2304" width="9" style="57"/>
    <col min="2305" max="2306" width="3.5" style="57" customWidth="1"/>
    <col min="2307" max="2307" width="5.375" style="57" customWidth="1"/>
    <col min="2308" max="2308" width="26.5" style="57" customWidth="1"/>
    <col min="2309" max="2311" width="7.375" style="57" customWidth="1"/>
    <col min="2312" max="2314" width="6.75" style="57" customWidth="1"/>
    <col min="2315" max="2318" width="7.375" style="57" customWidth="1"/>
    <col min="2319" max="2319" width="6.75" style="57" customWidth="1"/>
    <col min="2320" max="2321" width="7.375" style="57" customWidth="1"/>
    <col min="2322" max="2323" width="6.75" style="57" customWidth="1"/>
    <col min="2324" max="2324" width="8.125" style="57" customWidth="1"/>
    <col min="2325" max="2325" width="8.5" style="57" customWidth="1"/>
    <col min="2326" max="2560" width="9" style="57"/>
    <col min="2561" max="2562" width="3.5" style="57" customWidth="1"/>
    <col min="2563" max="2563" width="5.375" style="57" customWidth="1"/>
    <col min="2564" max="2564" width="26.5" style="57" customWidth="1"/>
    <col min="2565" max="2567" width="7.375" style="57" customWidth="1"/>
    <col min="2568" max="2570" width="6.75" style="57" customWidth="1"/>
    <col min="2571" max="2574" width="7.375" style="57" customWidth="1"/>
    <col min="2575" max="2575" width="6.75" style="57" customWidth="1"/>
    <col min="2576" max="2577" width="7.375" style="57" customWidth="1"/>
    <col min="2578" max="2579" width="6.75" style="57" customWidth="1"/>
    <col min="2580" max="2580" width="8.125" style="57" customWidth="1"/>
    <col min="2581" max="2581" width="8.5" style="57" customWidth="1"/>
    <col min="2582" max="2816" width="9" style="57"/>
    <col min="2817" max="2818" width="3.5" style="57" customWidth="1"/>
    <col min="2819" max="2819" width="5.375" style="57" customWidth="1"/>
    <col min="2820" max="2820" width="26.5" style="57" customWidth="1"/>
    <col min="2821" max="2823" width="7.375" style="57" customWidth="1"/>
    <col min="2824" max="2826" width="6.75" style="57" customWidth="1"/>
    <col min="2827" max="2830" width="7.375" style="57" customWidth="1"/>
    <col min="2831" max="2831" width="6.75" style="57" customWidth="1"/>
    <col min="2832" max="2833" width="7.375" style="57" customWidth="1"/>
    <col min="2834" max="2835" width="6.75" style="57" customWidth="1"/>
    <col min="2836" max="2836" width="8.125" style="57" customWidth="1"/>
    <col min="2837" max="2837" width="8.5" style="57" customWidth="1"/>
    <col min="2838" max="3072" width="9" style="57"/>
    <col min="3073" max="3074" width="3.5" style="57" customWidth="1"/>
    <col min="3075" max="3075" width="5.375" style="57" customWidth="1"/>
    <col min="3076" max="3076" width="26.5" style="57" customWidth="1"/>
    <col min="3077" max="3079" width="7.375" style="57" customWidth="1"/>
    <col min="3080" max="3082" width="6.75" style="57" customWidth="1"/>
    <col min="3083" max="3086" width="7.375" style="57" customWidth="1"/>
    <col min="3087" max="3087" width="6.75" style="57" customWidth="1"/>
    <col min="3088" max="3089" width="7.375" style="57" customWidth="1"/>
    <col min="3090" max="3091" width="6.75" style="57" customWidth="1"/>
    <col min="3092" max="3092" width="8.125" style="57" customWidth="1"/>
    <col min="3093" max="3093" width="8.5" style="57" customWidth="1"/>
    <col min="3094" max="3328" width="9" style="57"/>
    <col min="3329" max="3330" width="3.5" style="57" customWidth="1"/>
    <col min="3331" max="3331" width="5.375" style="57" customWidth="1"/>
    <col min="3332" max="3332" width="26.5" style="57" customWidth="1"/>
    <col min="3333" max="3335" width="7.375" style="57" customWidth="1"/>
    <col min="3336" max="3338" width="6.75" style="57" customWidth="1"/>
    <col min="3339" max="3342" width="7.375" style="57" customWidth="1"/>
    <col min="3343" max="3343" width="6.75" style="57" customWidth="1"/>
    <col min="3344" max="3345" width="7.375" style="57" customWidth="1"/>
    <col min="3346" max="3347" width="6.75" style="57" customWidth="1"/>
    <col min="3348" max="3348" width="8.125" style="57" customWidth="1"/>
    <col min="3349" max="3349" width="8.5" style="57" customWidth="1"/>
    <col min="3350" max="3584" width="9" style="57"/>
    <col min="3585" max="3586" width="3.5" style="57" customWidth="1"/>
    <col min="3587" max="3587" width="5.375" style="57" customWidth="1"/>
    <col min="3588" max="3588" width="26.5" style="57" customWidth="1"/>
    <col min="3589" max="3591" width="7.375" style="57" customWidth="1"/>
    <col min="3592" max="3594" width="6.75" style="57" customWidth="1"/>
    <col min="3595" max="3598" width="7.375" style="57" customWidth="1"/>
    <col min="3599" max="3599" width="6.75" style="57" customWidth="1"/>
    <col min="3600" max="3601" width="7.375" style="57" customWidth="1"/>
    <col min="3602" max="3603" width="6.75" style="57" customWidth="1"/>
    <col min="3604" max="3604" width="8.125" style="57" customWidth="1"/>
    <col min="3605" max="3605" width="8.5" style="57" customWidth="1"/>
    <col min="3606" max="3840" width="9" style="57"/>
    <col min="3841" max="3842" width="3.5" style="57" customWidth="1"/>
    <col min="3843" max="3843" width="5.375" style="57" customWidth="1"/>
    <col min="3844" max="3844" width="26.5" style="57" customWidth="1"/>
    <col min="3845" max="3847" width="7.375" style="57" customWidth="1"/>
    <col min="3848" max="3850" width="6.75" style="57" customWidth="1"/>
    <col min="3851" max="3854" width="7.375" style="57" customWidth="1"/>
    <col min="3855" max="3855" width="6.75" style="57" customWidth="1"/>
    <col min="3856" max="3857" width="7.375" style="57" customWidth="1"/>
    <col min="3858" max="3859" width="6.75" style="57" customWidth="1"/>
    <col min="3860" max="3860" width="8.125" style="57" customWidth="1"/>
    <col min="3861" max="3861" width="8.5" style="57" customWidth="1"/>
    <col min="3862" max="4096" width="9" style="57"/>
    <col min="4097" max="4098" width="3.5" style="57" customWidth="1"/>
    <col min="4099" max="4099" width="5.375" style="57" customWidth="1"/>
    <col min="4100" max="4100" width="26.5" style="57" customWidth="1"/>
    <col min="4101" max="4103" width="7.375" style="57" customWidth="1"/>
    <col min="4104" max="4106" width="6.75" style="57" customWidth="1"/>
    <col min="4107" max="4110" width="7.375" style="57" customWidth="1"/>
    <col min="4111" max="4111" width="6.75" style="57" customWidth="1"/>
    <col min="4112" max="4113" width="7.375" style="57" customWidth="1"/>
    <col min="4114" max="4115" width="6.75" style="57" customWidth="1"/>
    <col min="4116" max="4116" width="8.125" style="57" customWidth="1"/>
    <col min="4117" max="4117" width="8.5" style="57" customWidth="1"/>
    <col min="4118" max="4352" width="9" style="57"/>
    <col min="4353" max="4354" width="3.5" style="57" customWidth="1"/>
    <col min="4355" max="4355" width="5.375" style="57" customWidth="1"/>
    <col min="4356" max="4356" width="26.5" style="57" customWidth="1"/>
    <col min="4357" max="4359" width="7.375" style="57" customWidth="1"/>
    <col min="4360" max="4362" width="6.75" style="57" customWidth="1"/>
    <col min="4363" max="4366" width="7.375" style="57" customWidth="1"/>
    <col min="4367" max="4367" width="6.75" style="57" customWidth="1"/>
    <col min="4368" max="4369" width="7.375" style="57" customWidth="1"/>
    <col min="4370" max="4371" width="6.75" style="57" customWidth="1"/>
    <col min="4372" max="4372" width="8.125" style="57" customWidth="1"/>
    <col min="4373" max="4373" width="8.5" style="57" customWidth="1"/>
    <col min="4374" max="4608" width="9" style="57"/>
    <col min="4609" max="4610" width="3.5" style="57" customWidth="1"/>
    <col min="4611" max="4611" width="5.375" style="57" customWidth="1"/>
    <col min="4612" max="4612" width="26.5" style="57" customWidth="1"/>
    <col min="4613" max="4615" width="7.375" style="57" customWidth="1"/>
    <col min="4616" max="4618" width="6.75" style="57" customWidth="1"/>
    <col min="4619" max="4622" width="7.375" style="57" customWidth="1"/>
    <col min="4623" max="4623" width="6.75" style="57" customWidth="1"/>
    <col min="4624" max="4625" width="7.375" style="57" customWidth="1"/>
    <col min="4626" max="4627" width="6.75" style="57" customWidth="1"/>
    <col min="4628" max="4628" width="8.125" style="57" customWidth="1"/>
    <col min="4629" max="4629" width="8.5" style="57" customWidth="1"/>
    <col min="4630" max="4864" width="9" style="57"/>
    <col min="4865" max="4866" width="3.5" style="57" customWidth="1"/>
    <col min="4867" max="4867" width="5.375" style="57" customWidth="1"/>
    <col min="4868" max="4868" width="26.5" style="57" customWidth="1"/>
    <col min="4869" max="4871" width="7.375" style="57" customWidth="1"/>
    <col min="4872" max="4874" width="6.75" style="57" customWidth="1"/>
    <col min="4875" max="4878" width="7.375" style="57" customWidth="1"/>
    <col min="4879" max="4879" width="6.75" style="57" customWidth="1"/>
    <col min="4880" max="4881" width="7.375" style="57" customWidth="1"/>
    <col min="4882" max="4883" width="6.75" style="57" customWidth="1"/>
    <col min="4884" max="4884" width="8.125" style="57" customWidth="1"/>
    <col min="4885" max="4885" width="8.5" style="57" customWidth="1"/>
    <col min="4886" max="5120" width="9" style="57"/>
    <col min="5121" max="5122" width="3.5" style="57" customWidth="1"/>
    <col min="5123" max="5123" width="5.375" style="57" customWidth="1"/>
    <col min="5124" max="5124" width="26.5" style="57" customWidth="1"/>
    <col min="5125" max="5127" width="7.375" style="57" customWidth="1"/>
    <col min="5128" max="5130" width="6.75" style="57" customWidth="1"/>
    <col min="5131" max="5134" width="7.375" style="57" customWidth="1"/>
    <col min="5135" max="5135" width="6.75" style="57" customWidth="1"/>
    <col min="5136" max="5137" width="7.375" style="57" customWidth="1"/>
    <col min="5138" max="5139" width="6.75" style="57" customWidth="1"/>
    <col min="5140" max="5140" width="8.125" style="57" customWidth="1"/>
    <col min="5141" max="5141" width="8.5" style="57" customWidth="1"/>
    <col min="5142" max="5376" width="9" style="57"/>
    <col min="5377" max="5378" width="3.5" style="57" customWidth="1"/>
    <col min="5379" max="5379" width="5.375" style="57" customWidth="1"/>
    <col min="5380" max="5380" width="26.5" style="57" customWidth="1"/>
    <col min="5381" max="5383" width="7.375" style="57" customWidth="1"/>
    <col min="5384" max="5386" width="6.75" style="57" customWidth="1"/>
    <col min="5387" max="5390" width="7.375" style="57" customWidth="1"/>
    <col min="5391" max="5391" width="6.75" style="57" customWidth="1"/>
    <col min="5392" max="5393" width="7.375" style="57" customWidth="1"/>
    <col min="5394" max="5395" width="6.75" style="57" customWidth="1"/>
    <col min="5396" max="5396" width="8.125" style="57" customWidth="1"/>
    <col min="5397" max="5397" width="8.5" style="57" customWidth="1"/>
    <col min="5398" max="5632" width="9" style="57"/>
    <col min="5633" max="5634" width="3.5" style="57" customWidth="1"/>
    <col min="5635" max="5635" width="5.375" style="57" customWidth="1"/>
    <col min="5636" max="5636" width="26.5" style="57" customWidth="1"/>
    <col min="5637" max="5639" width="7.375" style="57" customWidth="1"/>
    <col min="5640" max="5642" width="6.75" style="57" customWidth="1"/>
    <col min="5643" max="5646" width="7.375" style="57" customWidth="1"/>
    <col min="5647" max="5647" width="6.75" style="57" customWidth="1"/>
    <col min="5648" max="5649" width="7.375" style="57" customWidth="1"/>
    <col min="5650" max="5651" width="6.75" style="57" customWidth="1"/>
    <col min="5652" max="5652" width="8.125" style="57" customWidth="1"/>
    <col min="5653" max="5653" width="8.5" style="57" customWidth="1"/>
    <col min="5654" max="5888" width="9" style="57"/>
    <col min="5889" max="5890" width="3.5" style="57" customWidth="1"/>
    <col min="5891" max="5891" width="5.375" style="57" customWidth="1"/>
    <col min="5892" max="5892" width="26.5" style="57" customWidth="1"/>
    <col min="5893" max="5895" width="7.375" style="57" customWidth="1"/>
    <col min="5896" max="5898" width="6.75" style="57" customWidth="1"/>
    <col min="5899" max="5902" width="7.375" style="57" customWidth="1"/>
    <col min="5903" max="5903" width="6.75" style="57" customWidth="1"/>
    <col min="5904" max="5905" width="7.375" style="57" customWidth="1"/>
    <col min="5906" max="5907" width="6.75" style="57" customWidth="1"/>
    <col min="5908" max="5908" width="8.125" style="57" customWidth="1"/>
    <col min="5909" max="5909" width="8.5" style="57" customWidth="1"/>
    <col min="5910" max="6144" width="9" style="57"/>
    <col min="6145" max="6146" width="3.5" style="57" customWidth="1"/>
    <col min="6147" max="6147" width="5.375" style="57" customWidth="1"/>
    <col min="6148" max="6148" width="26.5" style="57" customWidth="1"/>
    <col min="6149" max="6151" width="7.375" style="57" customWidth="1"/>
    <col min="6152" max="6154" width="6.75" style="57" customWidth="1"/>
    <col min="6155" max="6158" width="7.375" style="57" customWidth="1"/>
    <col min="6159" max="6159" width="6.75" style="57" customWidth="1"/>
    <col min="6160" max="6161" width="7.375" style="57" customWidth="1"/>
    <col min="6162" max="6163" width="6.75" style="57" customWidth="1"/>
    <col min="6164" max="6164" width="8.125" style="57" customWidth="1"/>
    <col min="6165" max="6165" width="8.5" style="57" customWidth="1"/>
    <col min="6166" max="6400" width="9" style="57"/>
    <col min="6401" max="6402" width="3.5" style="57" customWidth="1"/>
    <col min="6403" max="6403" width="5.375" style="57" customWidth="1"/>
    <col min="6404" max="6404" width="26.5" style="57" customWidth="1"/>
    <col min="6405" max="6407" width="7.375" style="57" customWidth="1"/>
    <col min="6408" max="6410" width="6.75" style="57" customWidth="1"/>
    <col min="6411" max="6414" width="7.375" style="57" customWidth="1"/>
    <col min="6415" max="6415" width="6.75" style="57" customWidth="1"/>
    <col min="6416" max="6417" width="7.375" style="57" customWidth="1"/>
    <col min="6418" max="6419" width="6.75" style="57" customWidth="1"/>
    <col min="6420" max="6420" width="8.125" style="57" customWidth="1"/>
    <col min="6421" max="6421" width="8.5" style="57" customWidth="1"/>
    <col min="6422" max="6656" width="9" style="57"/>
    <col min="6657" max="6658" width="3.5" style="57" customWidth="1"/>
    <col min="6659" max="6659" width="5.375" style="57" customWidth="1"/>
    <col min="6660" max="6660" width="26.5" style="57" customWidth="1"/>
    <col min="6661" max="6663" width="7.375" style="57" customWidth="1"/>
    <col min="6664" max="6666" width="6.75" style="57" customWidth="1"/>
    <col min="6667" max="6670" width="7.375" style="57" customWidth="1"/>
    <col min="6671" max="6671" width="6.75" style="57" customWidth="1"/>
    <col min="6672" max="6673" width="7.375" style="57" customWidth="1"/>
    <col min="6674" max="6675" width="6.75" style="57" customWidth="1"/>
    <col min="6676" max="6676" width="8.125" style="57" customWidth="1"/>
    <col min="6677" max="6677" width="8.5" style="57" customWidth="1"/>
    <col min="6678" max="6912" width="9" style="57"/>
    <col min="6913" max="6914" width="3.5" style="57" customWidth="1"/>
    <col min="6915" max="6915" width="5.375" style="57" customWidth="1"/>
    <col min="6916" max="6916" width="26.5" style="57" customWidth="1"/>
    <col min="6917" max="6919" width="7.375" style="57" customWidth="1"/>
    <col min="6920" max="6922" width="6.75" style="57" customWidth="1"/>
    <col min="6923" max="6926" width="7.375" style="57" customWidth="1"/>
    <col min="6927" max="6927" width="6.75" style="57" customWidth="1"/>
    <col min="6928" max="6929" width="7.375" style="57" customWidth="1"/>
    <col min="6930" max="6931" width="6.75" style="57" customWidth="1"/>
    <col min="6932" max="6932" width="8.125" style="57" customWidth="1"/>
    <col min="6933" max="6933" width="8.5" style="57" customWidth="1"/>
    <col min="6934" max="7168" width="9" style="57"/>
    <col min="7169" max="7170" width="3.5" style="57" customWidth="1"/>
    <col min="7171" max="7171" width="5.375" style="57" customWidth="1"/>
    <col min="7172" max="7172" width="26.5" style="57" customWidth="1"/>
    <col min="7173" max="7175" width="7.375" style="57" customWidth="1"/>
    <col min="7176" max="7178" width="6.75" style="57" customWidth="1"/>
    <col min="7179" max="7182" width="7.375" style="57" customWidth="1"/>
    <col min="7183" max="7183" width="6.75" style="57" customWidth="1"/>
    <col min="7184" max="7185" width="7.375" style="57" customWidth="1"/>
    <col min="7186" max="7187" width="6.75" style="57" customWidth="1"/>
    <col min="7188" max="7188" width="8.125" style="57" customWidth="1"/>
    <col min="7189" max="7189" width="8.5" style="57" customWidth="1"/>
    <col min="7190" max="7424" width="9" style="57"/>
    <col min="7425" max="7426" width="3.5" style="57" customWidth="1"/>
    <col min="7427" max="7427" width="5.375" style="57" customWidth="1"/>
    <col min="7428" max="7428" width="26.5" style="57" customWidth="1"/>
    <col min="7429" max="7431" width="7.375" style="57" customWidth="1"/>
    <col min="7432" max="7434" width="6.75" style="57" customWidth="1"/>
    <col min="7435" max="7438" width="7.375" style="57" customWidth="1"/>
    <col min="7439" max="7439" width="6.75" style="57" customWidth="1"/>
    <col min="7440" max="7441" width="7.375" style="57" customWidth="1"/>
    <col min="7442" max="7443" width="6.75" style="57" customWidth="1"/>
    <col min="7444" max="7444" width="8.125" style="57" customWidth="1"/>
    <col min="7445" max="7445" width="8.5" style="57" customWidth="1"/>
    <col min="7446" max="7680" width="9" style="57"/>
    <col min="7681" max="7682" width="3.5" style="57" customWidth="1"/>
    <col min="7683" max="7683" width="5.375" style="57" customWidth="1"/>
    <col min="7684" max="7684" width="26.5" style="57" customWidth="1"/>
    <col min="7685" max="7687" width="7.375" style="57" customWidth="1"/>
    <col min="7688" max="7690" width="6.75" style="57" customWidth="1"/>
    <col min="7691" max="7694" width="7.375" style="57" customWidth="1"/>
    <col min="7695" max="7695" width="6.75" style="57" customWidth="1"/>
    <col min="7696" max="7697" width="7.375" style="57" customWidth="1"/>
    <col min="7698" max="7699" width="6.75" style="57" customWidth="1"/>
    <col min="7700" max="7700" width="8.125" style="57" customWidth="1"/>
    <col min="7701" max="7701" width="8.5" style="57" customWidth="1"/>
    <col min="7702" max="7936" width="9" style="57"/>
    <col min="7937" max="7938" width="3.5" style="57" customWidth="1"/>
    <col min="7939" max="7939" width="5.375" style="57" customWidth="1"/>
    <col min="7940" max="7940" width="26.5" style="57" customWidth="1"/>
    <col min="7941" max="7943" width="7.375" style="57" customWidth="1"/>
    <col min="7944" max="7946" width="6.75" style="57" customWidth="1"/>
    <col min="7947" max="7950" width="7.375" style="57" customWidth="1"/>
    <col min="7951" max="7951" width="6.75" style="57" customWidth="1"/>
    <col min="7952" max="7953" width="7.375" style="57" customWidth="1"/>
    <col min="7954" max="7955" width="6.75" style="57" customWidth="1"/>
    <col min="7956" max="7956" width="8.125" style="57" customWidth="1"/>
    <col min="7957" max="7957" width="8.5" style="57" customWidth="1"/>
    <col min="7958" max="8192" width="9" style="57"/>
    <col min="8193" max="8194" width="3.5" style="57" customWidth="1"/>
    <col min="8195" max="8195" width="5.375" style="57" customWidth="1"/>
    <col min="8196" max="8196" width="26.5" style="57" customWidth="1"/>
    <col min="8197" max="8199" width="7.375" style="57" customWidth="1"/>
    <col min="8200" max="8202" width="6.75" style="57" customWidth="1"/>
    <col min="8203" max="8206" width="7.375" style="57" customWidth="1"/>
    <col min="8207" max="8207" width="6.75" style="57" customWidth="1"/>
    <col min="8208" max="8209" width="7.375" style="57" customWidth="1"/>
    <col min="8210" max="8211" width="6.75" style="57" customWidth="1"/>
    <col min="8212" max="8212" width="8.125" style="57" customWidth="1"/>
    <col min="8213" max="8213" width="8.5" style="57" customWidth="1"/>
    <col min="8214" max="8448" width="9" style="57"/>
    <col min="8449" max="8450" width="3.5" style="57" customWidth="1"/>
    <col min="8451" max="8451" width="5.375" style="57" customWidth="1"/>
    <col min="8452" max="8452" width="26.5" style="57" customWidth="1"/>
    <col min="8453" max="8455" width="7.375" style="57" customWidth="1"/>
    <col min="8456" max="8458" width="6.75" style="57" customWidth="1"/>
    <col min="8459" max="8462" width="7.375" style="57" customWidth="1"/>
    <col min="8463" max="8463" width="6.75" style="57" customWidth="1"/>
    <col min="8464" max="8465" width="7.375" style="57" customWidth="1"/>
    <col min="8466" max="8467" width="6.75" style="57" customWidth="1"/>
    <col min="8468" max="8468" width="8.125" style="57" customWidth="1"/>
    <col min="8469" max="8469" width="8.5" style="57" customWidth="1"/>
    <col min="8470" max="8704" width="9" style="57"/>
    <col min="8705" max="8706" width="3.5" style="57" customWidth="1"/>
    <col min="8707" max="8707" width="5.375" style="57" customWidth="1"/>
    <col min="8708" max="8708" width="26.5" style="57" customWidth="1"/>
    <col min="8709" max="8711" width="7.375" style="57" customWidth="1"/>
    <col min="8712" max="8714" width="6.75" style="57" customWidth="1"/>
    <col min="8715" max="8718" width="7.375" style="57" customWidth="1"/>
    <col min="8719" max="8719" width="6.75" style="57" customWidth="1"/>
    <col min="8720" max="8721" width="7.375" style="57" customWidth="1"/>
    <col min="8722" max="8723" width="6.75" style="57" customWidth="1"/>
    <col min="8724" max="8724" width="8.125" style="57" customWidth="1"/>
    <col min="8725" max="8725" width="8.5" style="57" customWidth="1"/>
    <col min="8726" max="8960" width="9" style="57"/>
    <col min="8961" max="8962" width="3.5" style="57" customWidth="1"/>
    <col min="8963" max="8963" width="5.375" style="57" customWidth="1"/>
    <col min="8964" max="8964" width="26.5" style="57" customWidth="1"/>
    <col min="8965" max="8967" width="7.375" style="57" customWidth="1"/>
    <col min="8968" max="8970" width="6.75" style="57" customWidth="1"/>
    <col min="8971" max="8974" width="7.375" style="57" customWidth="1"/>
    <col min="8975" max="8975" width="6.75" style="57" customWidth="1"/>
    <col min="8976" max="8977" width="7.375" style="57" customWidth="1"/>
    <col min="8978" max="8979" width="6.75" style="57" customWidth="1"/>
    <col min="8980" max="8980" width="8.125" style="57" customWidth="1"/>
    <col min="8981" max="8981" width="8.5" style="57" customWidth="1"/>
    <col min="8982" max="9216" width="9" style="57"/>
    <col min="9217" max="9218" width="3.5" style="57" customWidth="1"/>
    <col min="9219" max="9219" width="5.375" style="57" customWidth="1"/>
    <col min="9220" max="9220" width="26.5" style="57" customWidth="1"/>
    <col min="9221" max="9223" width="7.375" style="57" customWidth="1"/>
    <col min="9224" max="9226" width="6.75" style="57" customWidth="1"/>
    <col min="9227" max="9230" width="7.375" style="57" customWidth="1"/>
    <col min="9231" max="9231" width="6.75" style="57" customWidth="1"/>
    <col min="9232" max="9233" width="7.375" style="57" customWidth="1"/>
    <col min="9234" max="9235" width="6.75" style="57" customWidth="1"/>
    <col min="9236" max="9236" width="8.125" style="57" customWidth="1"/>
    <col min="9237" max="9237" width="8.5" style="57" customWidth="1"/>
    <col min="9238" max="9472" width="9" style="57"/>
    <col min="9473" max="9474" width="3.5" style="57" customWidth="1"/>
    <col min="9475" max="9475" width="5.375" style="57" customWidth="1"/>
    <col min="9476" max="9476" width="26.5" style="57" customWidth="1"/>
    <col min="9477" max="9479" width="7.375" style="57" customWidth="1"/>
    <col min="9480" max="9482" width="6.75" style="57" customWidth="1"/>
    <col min="9483" max="9486" width="7.375" style="57" customWidth="1"/>
    <col min="9487" max="9487" width="6.75" style="57" customWidth="1"/>
    <col min="9488" max="9489" width="7.375" style="57" customWidth="1"/>
    <col min="9490" max="9491" width="6.75" style="57" customWidth="1"/>
    <col min="9492" max="9492" width="8.125" style="57" customWidth="1"/>
    <col min="9493" max="9493" width="8.5" style="57" customWidth="1"/>
    <col min="9494" max="9728" width="9" style="57"/>
    <col min="9729" max="9730" width="3.5" style="57" customWidth="1"/>
    <col min="9731" max="9731" width="5.375" style="57" customWidth="1"/>
    <col min="9732" max="9732" width="26.5" style="57" customWidth="1"/>
    <col min="9733" max="9735" width="7.375" style="57" customWidth="1"/>
    <col min="9736" max="9738" width="6.75" style="57" customWidth="1"/>
    <col min="9739" max="9742" width="7.375" style="57" customWidth="1"/>
    <col min="9743" max="9743" width="6.75" style="57" customWidth="1"/>
    <col min="9744" max="9745" width="7.375" style="57" customWidth="1"/>
    <col min="9746" max="9747" width="6.75" style="57" customWidth="1"/>
    <col min="9748" max="9748" width="8.125" style="57" customWidth="1"/>
    <col min="9749" max="9749" width="8.5" style="57" customWidth="1"/>
    <col min="9750" max="9984" width="9" style="57"/>
    <col min="9985" max="9986" width="3.5" style="57" customWidth="1"/>
    <col min="9987" max="9987" width="5.375" style="57" customWidth="1"/>
    <col min="9988" max="9988" width="26.5" style="57" customWidth="1"/>
    <col min="9989" max="9991" width="7.375" style="57" customWidth="1"/>
    <col min="9992" max="9994" width="6.75" style="57" customWidth="1"/>
    <col min="9995" max="9998" width="7.375" style="57" customWidth="1"/>
    <col min="9999" max="9999" width="6.75" style="57" customWidth="1"/>
    <col min="10000" max="10001" width="7.375" style="57" customWidth="1"/>
    <col min="10002" max="10003" width="6.75" style="57" customWidth="1"/>
    <col min="10004" max="10004" width="8.125" style="57" customWidth="1"/>
    <col min="10005" max="10005" width="8.5" style="57" customWidth="1"/>
    <col min="10006" max="10240" width="9" style="57"/>
    <col min="10241" max="10242" width="3.5" style="57" customWidth="1"/>
    <col min="10243" max="10243" width="5.375" style="57" customWidth="1"/>
    <col min="10244" max="10244" width="26.5" style="57" customWidth="1"/>
    <col min="10245" max="10247" width="7.375" style="57" customWidth="1"/>
    <col min="10248" max="10250" width="6.75" style="57" customWidth="1"/>
    <col min="10251" max="10254" width="7.375" style="57" customWidth="1"/>
    <col min="10255" max="10255" width="6.75" style="57" customWidth="1"/>
    <col min="10256" max="10257" width="7.375" style="57" customWidth="1"/>
    <col min="10258" max="10259" width="6.75" style="57" customWidth="1"/>
    <col min="10260" max="10260" width="8.125" style="57" customWidth="1"/>
    <col min="10261" max="10261" width="8.5" style="57" customWidth="1"/>
    <col min="10262" max="10496" width="9" style="57"/>
    <col min="10497" max="10498" width="3.5" style="57" customWidth="1"/>
    <col min="10499" max="10499" width="5.375" style="57" customWidth="1"/>
    <col min="10500" max="10500" width="26.5" style="57" customWidth="1"/>
    <col min="10501" max="10503" width="7.375" style="57" customWidth="1"/>
    <col min="10504" max="10506" width="6.75" style="57" customWidth="1"/>
    <col min="10507" max="10510" width="7.375" style="57" customWidth="1"/>
    <col min="10511" max="10511" width="6.75" style="57" customWidth="1"/>
    <col min="10512" max="10513" width="7.375" style="57" customWidth="1"/>
    <col min="10514" max="10515" width="6.75" style="57" customWidth="1"/>
    <col min="10516" max="10516" width="8.125" style="57" customWidth="1"/>
    <col min="10517" max="10517" width="8.5" style="57" customWidth="1"/>
    <col min="10518" max="10752" width="9" style="57"/>
    <col min="10753" max="10754" width="3.5" style="57" customWidth="1"/>
    <col min="10755" max="10755" width="5.375" style="57" customWidth="1"/>
    <col min="10756" max="10756" width="26.5" style="57" customWidth="1"/>
    <col min="10757" max="10759" width="7.375" style="57" customWidth="1"/>
    <col min="10760" max="10762" width="6.75" style="57" customWidth="1"/>
    <col min="10763" max="10766" width="7.375" style="57" customWidth="1"/>
    <col min="10767" max="10767" width="6.75" style="57" customWidth="1"/>
    <col min="10768" max="10769" width="7.375" style="57" customWidth="1"/>
    <col min="10770" max="10771" width="6.75" style="57" customWidth="1"/>
    <col min="10772" max="10772" width="8.125" style="57" customWidth="1"/>
    <col min="10773" max="10773" width="8.5" style="57" customWidth="1"/>
    <col min="10774" max="11008" width="9" style="57"/>
    <col min="11009" max="11010" width="3.5" style="57" customWidth="1"/>
    <col min="11011" max="11011" width="5.375" style="57" customWidth="1"/>
    <col min="11012" max="11012" width="26.5" style="57" customWidth="1"/>
    <col min="11013" max="11015" width="7.375" style="57" customWidth="1"/>
    <col min="11016" max="11018" width="6.75" style="57" customWidth="1"/>
    <col min="11019" max="11022" width="7.375" style="57" customWidth="1"/>
    <col min="11023" max="11023" width="6.75" style="57" customWidth="1"/>
    <col min="11024" max="11025" width="7.375" style="57" customWidth="1"/>
    <col min="11026" max="11027" width="6.75" style="57" customWidth="1"/>
    <col min="11028" max="11028" width="8.125" style="57" customWidth="1"/>
    <col min="11029" max="11029" width="8.5" style="57" customWidth="1"/>
    <col min="11030" max="11264" width="9" style="57"/>
    <col min="11265" max="11266" width="3.5" style="57" customWidth="1"/>
    <col min="11267" max="11267" width="5.375" style="57" customWidth="1"/>
    <col min="11268" max="11268" width="26.5" style="57" customWidth="1"/>
    <col min="11269" max="11271" width="7.375" style="57" customWidth="1"/>
    <col min="11272" max="11274" width="6.75" style="57" customWidth="1"/>
    <col min="11275" max="11278" width="7.375" style="57" customWidth="1"/>
    <col min="11279" max="11279" width="6.75" style="57" customWidth="1"/>
    <col min="11280" max="11281" width="7.375" style="57" customWidth="1"/>
    <col min="11282" max="11283" width="6.75" style="57" customWidth="1"/>
    <col min="11284" max="11284" width="8.125" style="57" customWidth="1"/>
    <col min="11285" max="11285" width="8.5" style="57" customWidth="1"/>
    <col min="11286" max="11520" width="9" style="57"/>
    <col min="11521" max="11522" width="3.5" style="57" customWidth="1"/>
    <col min="11523" max="11523" width="5.375" style="57" customWidth="1"/>
    <col min="11524" max="11524" width="26.5" style="57" customWidth="1"/>
    <col min="11525" max="11527" width="7.375" style="57" customWidth="1"/>
    <col min="11528" max="11530" width="6.75" style="57" customWidth="1"/>
    <col min="11531" max="11534" width="7.375" style="57" customWidth="1"/>
    <col min="11535" max="11535" width="6.75" style="57" customWidth="1"/>
    <col min="11536" max="11537" width="7.375" style="57" customWidth="1"/>
    <col min="11538" max="11539" width="6.75" style="57" customWidth="1"/>
    <col min="11540" max="11540" width="8.125" style="57" customWidth="1"/>
    <col min="11541" max="11541" width="8.5" style="57" customWidth="1"/>
    <col min="11542" max="11776" width="9" style="57"/>
    <col min="11777" max="11778" width="3.5" style="57" customWidth="1"/>
    <col min="11779" max="11779" width="5.375" style="57" customWidth="1"/>
    <col min="11780" max="11780" width="26.5" style="57" customWidth="1"/>
    <col min="11781" max="11783" width="7.375" style="57" customWidth="1"/>
    <col min="11784" max="11786" width="6.75" style="57" customWidth="1"/>
    <col min="11787" max="11790" width="7.375" style="57" customWidth="1"/>
    <col min="11791" max="11791" width="6.75" style="57" customWidth="1"/>
    <col min="11792" max="11793" width="7.375" style="57" customWidth="1"/>
    <col min="11794" max="11795" width="6.75" style="57" customWidth="1"/>
    <col min="11796" max="11796" width="8.125" style="57" customWidth="1"/>
    <col min="11797" max="11797" width="8.5" style="57" customWidth="1"/>
    <col min="11798" max="12032" width="9" style="57"/>
    <col min="12033" max="12034" width="3.5" style="57" customWidth="1"/>
    <col min="12035" max="12035" width="5.375" style="57" customWidth="1"/>
    <col min="12036" max="12036" width="26.5" style="57" customWidth="1"/>
    <col min="12037" max="12039" width="7.375" style="57" customWidth="1"/>
    <col min="12040" max="12042" width="6.75" style="57" customWidth="1"/>
    <col min="12043" max="12046" width="7.375" style="57" customWidth="1"/>
    <col min="12047" max="12047" width="6.75" style="57" customWidth="1"/>
    <col min="12048" max="12049" width="7.375" style="57" customWidth="1"/>
    <col min="12050" max="12051" width="6.75" style="57" customWidth="1"/>
    <col min="12052" max="12052" width="8.125" style="57" customWidth="1"/>
    <col min="12053" max="12053" width="8.5" style="57" customWidth="1"/>
    <col min="12054" max="12288" width="9" style="57"/>
    <col min="12289" max="12290" width="3.5" style="57" customWidth="1"/>
    <col min="12291" max="12291" width="5.375" style="57" customWidth="1"/>
    <col min="12292" max="12292" width="26.5" style="57" customWidth="1"/>
    <col min="12293" max="12295" width="7.375" style="57" customWidth="1"/>
    <col min="12296" max="12298" width="6.75" style="57" customWidth="1"/>
    <col min="12299" max="12302" width="7.375" style="57" customWidth="1"/>
    <col min="12303" max="12303" width="6.75" style="57" customWidth="1"/>
    <col min="12304" max="12305" width="7.375" style="57" customWidth="1"/>
    <col min="12306" max="12307" width="6.75" style="57" customWidth="1"/>
    <col min="12308" max="12308" width="8.125" style="57" customWidth="1"/>
    <col min="12309" max="12309" width="8.5" style="57" customWidth="1"/>
    <col min="12310" max="12544" width="9" style="57"/>
    <col min="12545" max="12546" width="3.5" style="57" customWidth="1"/>
    <col min="12547" max="12547" width="5.375" style="57" customWidth="1"/>
    <col min="12548" max="12548" width="26.5" style="57" customWidth="1"/>
    <col min="12549" max="12551" width="7.375" style="57" customWidth="1"/>
    <col min="12552" max="12554" width="6.75" style="57" customWidth="1"/>
    <col min="12555" max="12558" width="7.375" style="57" customWidth="1"/>
    <col min="12559" max="12559" width="6.75" style="57" customWidth="1"/>
    <col min="12560" max="12561" width="7.375" style="57" customWidth="1"/>
    <col min="12562" max="12563" width="6.75" style="57" customWidth="1"/>
    <col min="12564" max="12564" width="8.125" style="57" customWidth="1"/>
    <col min="12565" max="12565" width="8.5" style="57" customWidth="1"/>
    <col min="12566" max="12800" width="9" style="57"/>
    <col min="12801" max="12802" width="3.5" style="57" customWidth="1"/>
    <col min="12803" max="12803" width="5.375" style="57" customWidth="1"/>
    <col min="12804" max="12804" width="26.5" style="57" customWidth="1"/>
    <col min="12805" max="12807" width="7.375" style="57" customWidth="1"/>
    <col min="12808" max="12810" width="6.75" style="57" customWidth="1"/>
    <col min="12811" max="12814" width="7.375" style="57" customWidth="1"/>
    <col min="12815" max="12815" width="6.75" style="57" customWidth="1"/>
    <col min="12816" max="12817" width="7.375" style="57" customWidth="1"/>
    <col min="12818" max="12819" width="6.75" style="57" customWidth="1"/>
    <col min="12820" max="12820" width="8.125" style="57" customWidth="1"/>
    <col min="12821" max="12821" width="8.5" style="57" customWidth="1"/>
    <col min="12822" max="13056" width="9" style="57"/>
    <col min="13057" max="13058" width="3.5" style="57" customWidth="1"/>
    <col min="13059" max="13059" width="5.375" style="57" customWidth="1"/>
    <col min="13060" max="13060" width="26.5" style="57" customWidth="1"/>
    <col min="13061" max="13063" width="7.375" style="57" customWidth="1"/>
    <col min="13064" max="13066" width="6.75" style="57" customWidth="1"/>
    <col min="13067" max="13070" width="7.375" style="57" customWidth="1"/>
    <col min="13071" max="13071" width="6.75" style="57" customWidth="1"/>
    <col min="13072" max="13073" width="7.375" style="57" customWidth="1"/>
    <col min="13074" max="13075" width="6.75" style="57" customWidth="1"/>
    <col min="13076" max="13076" width="8.125" style="57" customWidth="1"/>
    <col min="13077" max="13077" width="8.5" style="57" customWidth="1"/>
    <col min="13078" max="13312" width="9" style="57"/>
    <col min="13313" max="13314" width="3.5" style="57" customWidth="1"/>
    <col min="13315" max="13315" width="5.375" style="57" customWidth="1"/>
    <col min="13316" max="13316" width="26.5" style="57" customWidth="1"/>
    <col min="13317" max="13319" width="7.375" style="57" customWidth="1"/>
    <col min="13320" max="13322" width="6.75" style="57" customWidth="1"/>
    <col min="13323" max="13326" width="7.375" style="57" customWidth="1"/>
    <col min="13327" max="13327" width="6.75" style="57" customWidth="1"/>
    <col min="13328" max="13329" width="7.375" style="57" customWidth="1"/>
    <col min="13330" max="13331" width="6.75" style="57" customWidth="1"/>
    <col min="13332" max="13332" width="8.125" style="57" customWidth="1"/>
    <col min="13333" max="13333" width="8.5" style="57" customWidth="1"/>
    <col min="13334" max="13568" width="9" style="57"/>
    <col min="13569" max="13570" width="3.5" style="57" customWidth="1"/>
    <col min="13571" max="13571" width="5.375" style="57" customWidth="1"/>
    <col min="13572" max="13572" width="26.5" style="57" customWidth="1"/>
    <col min="13573" max="13575" width="7.375" style="57" customWidth="1"/>
    <col min="13576" max="13578" width="6.75" style="57" customWidth="1"/>
    <col min="13579" max="13582" width="7.375" style="57" customWidth="1"/>
    <col min="13583" max="13583" width="6.75" style="57" customWidth="1"/>
    <col min="13584" max="13585" width="7.375" style="57" customWidth="1"/>
    <col min="13586" max="13587" width="6.75" style="57" customWidth="1"/>
    <col min="13588" max="13588" width="8.125" style="57" customWidth="1"/>
    <col min="13589" max="13589" width="8.5" style="57" customWidth="1"/>
    <col min="13590" max="13824" width="9" style="57"/>
    <col min="13825" max="13826" width="3.5" style="57" customWidth="1"/>
    <col min="13827" max="13827" width="5.375" style="57" customWidth="1"/>
    <col min="13828" max="13828" width="26.5" style="57" customWidth="1"/>
    <col min="13829" max="13831" width="7.375" style="57" customWidth="1"/>
    <col min="13832" max="13834" width="6.75" style="57" customWidth="1"/>
    <col min="13835" max="13838" width="7.375" style="57" customWidth="1"/>
    <col min="13839" max="13839" width="6.75" style="57" customWidth="1"/>
    <col min="13840" max="13841" width="7.375" style="57" customWidth="1"/>
    <col min="13842" max="13843" width="6.75" style="57" customWidth="1"/>
    <col min="13844" max="13844" width="8.125" style="57" customWidth="1"/>
    <col min="13845" max="13845" width="8.5" style="57" customWidth="1"/>
    <col min="13846" max="14080" width="9" style="57"/>
    <col min="14081" max="14082" width="3.5" style="57" customWidth="1"/>
    <col min="14083" max="14083" width="5.375" style="57" customWidth="1"/>
    <col min="14084" max="14084" width="26.5" style="57" customWidth="1"/>
    <col min="14085" max="14087" width="7.375" style="57" customWidth="1"/>
    <col min="14088" max="14090" width="6.75" style="57" customWidth="1"/>
    <col min="14091" max="14094" width="7.375" style="57" customWidth="1"/>
    <col min="14095" max="14095" width="6.75" style="57" customWidth="1"/>
    <col min="14096" max="14097" width="7.375" style="57" customWidth="1"/>
    <col min="14098" max="14099" width="6.75" style="57" customWidth="1"/>
    <col min="14100" max="14100" width="8.125" style="57" customWidth="1"/>
    <col min="14101" max="14101" width="8.5" style="57" customWidth="1"/>
    <col min="14102" max="14336" width="9" style="57"/>
    <col min="14337" max="14338" width="3.5" style="57" customWidth="1"/>
    <col min="14339" max="14339" width="5.375" style="57" customWidth="1"/>
    <col min="14340" max="14340" width="26.5" style="57" customWidth="1"/>
    <col min="14341" max="14343" width="7.375" style="57" customWidth="1"/>
    <col min="14344" max="14346" width="6.75" style="57" customWidth="1"/>
    <col min="14347" max="14350" width="7.375" style="57" customWidth="1"/>
    <col min="14351" max="14351" width="6.75" style="57" customWidth="1"/>
    <col min="14352" max="14353" width="7.375" style="57" customWidth="1"/>
    <col min="14354" max="14355" width="6.75" style="57" customWidth="1"/>
    <col min="14356" max="14356" width="8.125" style="57" customWidth="1"/>
    <col min="14357" max="14357" width="8.5" style="57" customWidth="1"/>
    <col min="14358" max="14592" width="9" style="57"/>
    <col min="14593" max="14594" width="3.5" style="57" customWidth="1"/>
    <col min="14595" max="14595" width="5.375" style="57" customWidth="1"/>
    <col min="14596" max="14596" width="26.5" style="57" customWidth="1"/>
    <col min="14597" max="14599" width="7.375" style="57" customWidth="1"/>
    <col min="14600" max="14602" width="6.75" style="57" customWidth="1"/>
    <col min="14603" max="14606" width="7.375" style="57" customWidth="1"/>
    <col min="14607" max="14607" width="6.75" style="57" customWidth="1"/>
    <col min="14608" max="14609" width="7.375" style="57" customWidth="1"/>
    <col min="14610" max="14611" width="6.75" style="57" customWidth="1"/>
    <col min="14612" max="14612" width="8.125" style="57" customWidth="1"/>
    <col min="14613" max="14613" width="8.5" style="57" customWidth="1"/>
    <col min="14614" max="14848" width="9" style="57"/>
    <col min="14849" max="14850" width="3.5" style="57" customWidth="1"/>
    <col min="14851" max="14851" width="5.375" style="57" customWidth="1"/>
    <col min="14852" max="14852" width="26.5" style="57" customWidth="1"/>
    <col min="14853" max="14855" width="7.375" style="57" customWidth="1"/>
    <col min="14856" max="14858" width="6.75" style="57" customWidth="1"/>
    <col min="14859" max="14862" width="7.375" style="57" customWidth="1"/>
    <col min="14863" max="14863" width="6.75" style="57" customWidth="1"/>
    <col min="14864" max="14865" width="7.375" style="57" customWidth="1"/>
    <col min="14866" max="14867" width="6.75" style="57" customWidth="1"/>
    <col min="14868" max="14868" width="8.125" style="57" customWidth="1"/>
    <col min="14869" max="14869" width="8.5" style="57" customWidth="1"/>
    <col min="14870" max="15104" width="9" style="57"/>
    <col min="15105" max="15106" width="3.5" style="57" customWidth="1"/>
    <col min="15107" max="15107" width="5.375" style="57" customWidth="1"/>
    <col min="15108" max="15108" width="26.5" style="57" customWidth="1"/>
    <col min="15109" max="15111" width="7.375" style="57" customWidth="1"/>
    <col min="15112" max="15114" width="6.75" style="57" customWidth="1"/>
    <col min="15115" max="15118" width="7.375" style="57" customWidth="1"/>
    <col min="15119" max="15119" width="6.75" style="57" customWidth="1"/>
    <col min="15120" max="15121" width="7.375" style="57" customWidth="1"/>
    <col min="15122" max="15123" width="6.75" style="57" customWidth="1"/>
    <col min="15124" max="15124" width="8.125" style="57" customWidth="1"/>
    <col min="15125" max="15125" width="8.5" style="57" customWidth="1"/>
    <col min="15126" max="15360" width="9" style="57"/>
    <col min="15361" max="15362" width="3.5" style="57" customWidth="1"/>
    <col min="15363" max="15363" width="5.375" style="57" customWidth="1"/>
    <col min="15364" max="15364" width="26.5" style="57" customWidth="1"/>
    <col min="15365" max="15367" width="7.375" style="57" customWidth="1"/>
    <col min="15368" max="15370" width="6.75" style="57" customWidth="1"/>
    <col min="15371" max="15374" width="7.375" style="57" customWidth="1"/>
    <col min="15375" max="15375" width="6.75" style="57" customWidth="1"/>
    <col min="15376" max="15377" width="7.375" style="57" customWidth="1"/>
    <col min="15378" max="15379" width="6.75" style="57" customWidth="1"/>
    <col min="15380" max="15380" width="8.125" style="57" customWidth="1"/>
    <col min="15381" max="15381" width="8.5" style="57" customWidth="1"/>
    <col min="15382" max="15616" width="9" style="57"/>
    <col min="15617" max="15618" width="3.5" style="57" customWidth="1"/>
    <col min="15619" max="15619" width="5.375" style="57" customWidth="1"/>
    <col min="15620" max="15620" width="26.5" style="57" customWidth="1"/>
    <col min="15621" max="15623" width="7.375" style="57" customWidth="1"/>
    <col min="15624" max="15626" width="6.75" style="57" customWidth="1"/>
    <col min="15627" max="15630" width="7.375" style="57" customWidth="1"/>
    <col min="15631" max="15631" width="6.75" style="57" customWidth="1"/>
    <col min="15632" max="15633" width="7.375" style="57" customWidth="1"/>
    <col min="15634" max="15635" width="6.75" style="57" customWidth="1"/>
    <col min="15636" max="15636" width="8.125" style="57" customWidth="1"/>
    <col min="15637" max="15637" width="8.5" style="57" customWidth="1"/>
    <col min="15638" max="15872" width="9" style="57"/>
    <col min="15873" max="15874" width="3.5" style="57" customWidth="1"/>
    <col min="15875" max="15875" width="5.375" style="57" customWidth="1"/>
    <col min="15876" max="15876" width="26.5" style="57" customWidth="1"/>
    <col min="15877" max="15879" width="7.375" style="57" customWidth="1"/>
    <col min="15880" max="15882" width="6.75" style="57" customWidth="1"/>
    <col min="15883" max="15886" width="7.375" style="57" customWidth="1"/>
    <col min="15887" max="15887" width="6.75" style="57" customWidth="1"/>
    <col min="15888" max="15889" width="7.375" style="57" customWidth="1"/>
    <col min="15890" max="15891" width="6.75" style="57" customWidth="1"/>
    <col min="15892" max="15892" width="8.125" style="57" customWidth="1"/>
    <col min="15893" max="15893" width="8.5" style="57" customWidth="1"/>
    <col min="15894" max="16128" width="9" style="57"/>
    <col min="16129" max="16130" width="3.5" style="57" customWidth="1"/>
    <col min="16131" max="16131" width="5.375" style="57" customWidth="1"/>
    <col min="16132" max="16132" width="26.5" style="57" customWidth="1"/>
    <col min="16133" max="16135" width="7.375" style="57" customWidth="1"/>
    <col min="16136" max="16138" width="6.75" style="57" customWidth="1"/>
    <col min="16139" max="16142" width="7.375" style="57" customWidth="1"/>
    <col min="16143" max="16143" width="6.75" style="57" customWidth="1"/>
    <col min="16144" max="16145" width="7.375" style="57" customWidth="1"/>
    <col min="16146" max="16147" width="6.75" style="57" customWidth="1"/>
    <col min="16148" max="16148" width="8.125" style="57" customWidth="1"/>
    <col min="16149" max="16149" width="8.5" style="57" customWidth="1"/>
    <col min="16150" max="16384" width="9" style="57"/>
  </cols>
  <sheetData>
    <row r="2" spans="1:21" s="59" customFormat="1" ht="20.100000000000001" customHeight="1" x14ac:dyDescent="0.2">
      <c r="A2" s="140" t="s">
        <v>220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40"/>
      <c r="S2" s="140"/>
      <c r="T2" s="140"/>
      <c r="U2" s="140"/>
    </row>
    <row r="3" spans="1:21" x14ac:dyDescent="0.15">
      <c r="A3" s="60" t="str">
        <f>'別紙2-1出動実績報告表'!F3</f>
        <v>●●レッカー株式会社</v>
      </c>
      <c r="B3" s="61"/>
      <c r="C3" s="61"/>
      <c r="D3" s="61"/>
      <c r="P3" s="62"/>
      <c r="Q3" s="62"/>
      <c r="R3" s="62"/>
      <c r="S3" s="62"/>
      <c r="T3" s="62"/>
      <c r="U3" s="62"/>
    </row>
    <row r="4" spans="1:21" x14ac:dyDescent="0.15">
      <c r="A4" s="62"/>
      <c r="B4" s="63"/>
      <c r="C4" s="63"/>
      <c r="D4" s="63"/>
      <c r="P4" s="62"/>
      <c r="Q4" s="62"/>
      <c r="R4" s="62"/>
      <c r="S4" s="62"/>
      <c r="T4" s="62"/>
      <c r="U4" s="62"/>
    </row>
    <row r="5" spans="1:21" x14ac:dyDescent="0.15">
      <c r="A5" s="60" t="str">
        <f>'別紙2-1出動実績報告表'!F5</f>
        <v>▲▲保全・サービスセンター</v>
      </c>
      <c r="B5" s="61"/>
      <c r="C5" s="61"/>
      <c r="D5" s="61"/>
      <c r="F5" s="60" t="str">
        <f>'別紙2-1出動実績報告表'!F7</f>
        <v>■■自動車道</v>
      </c>
      <c r="G5" s="60"/>
      <c r="H5" s="60"/>
      <c r="I5" s="60"/>
      <c r="J5" s="60"/>
      <c r="K5" s="62"/>
      <c r="L5" s="60" t="s">
        <v>110</v>
      </c>
      <c r="M5" s="60"/>
      <c r="N5" s="60"/>
      <c r="O5" s="60"/>
      <c r="P5" s="60"/>
      <c r="Q5" s="60"/>
      <c r="R5" s="60"/>
      <c r="S5" s="60"/>
      <c r="T5" s="60"/>
      <c r="U5" s="62"/>
    </row>
    <row r="6" spans="1:21" ht="15" thickBot="1" x14ac:dyDescent="0.2">
      <c r="B6" s="62"/>
      <c r="C6" s="63"/>
      <c r="D6" s="63"/>
      <c r="F6" s="62"/>
      <c r="G6" s="62"/>
      <c r="H6" s="62"/>
      <c r="I6" s="62"/>
      <c r="J6" s="62"/>
      <c r="K6" s="62"/>
      <c r="L6" s="62"/>
      <c r="P6" s="62"/>
      <c r="Q6" s="62"/>
      <c r="R6" s="62"/>
      <c r="S6" s="62"/>
      <c r="T6" s="62"/>
      <c r="U6" s="62"/>
    </row>
    <row r="7" spans="1:21" s="58" customFormat="1" ht="15" thickTop="1" x14ac:dyDescent="0.15">
      <c r="A7" s="64"/>
      <c r="B7" s="65"/>
      <c r="C7" s="65"/>
      <c r="D7" s="66" t="s">
        <v>111</v>
      </c>
      <c r="E7" s="67" t="s">
        <v>112</v>
      </c>
      <c r="F7" s="67"/>
      <c r="G7" s="68"/>
      <c r="H7" s="69" t="s">
        <v>113</v>
      </c>
      <c r="I7" s="68"/>
      <c r="J7" s="69" t="s">
        <v>114</v>
      </c>
      <c r="K7" s="67"/>
      <c r="L7" s="68"/>
      <c r="M7" s="69" t="s">
        <v>115</v>
      </c>
      <c r="N7" s="67"/>
      <c r="O7" s="67"/>
      <c r="P7" s="68"/>
      <c r="Q7" s="70" t="s">
        <v>116</v>
      </c>
      <c r="R7" s="71"/>
      <c r="S7" s="71"/>
      <c r="T7" s="72"/>
      <c r="U7" s="73"/>
    </row>
    <row r="8" spans="1:21" s="82" customFormat="1" x14ac:dyDescent="0.15">
      <c r="A8" s="74"/>
      <c r="B8" s="75"/>
      <c r="C8" s="75"/>
      <c r="D8" s="76"/>
      <c r="E8" s="77" t="s">
        <v>117</v>
      </c>
      <c r="F8" s="78" t="s">
        <v>118</v>
      </c>
      <c r="G8" s="78" t="s">
        <v>119</v>
      </c>
      <c r="H8" s="78" t="s">
        <v>120</v>
      </c>
      <c r="I8" s="78" t="s">
        <v>121</v>
      </c>
      <c r="J8" s="78" t="s">
        <v>121</v>
      </c>
      <c r="K8" s="78" t="s">
        <v>122</v>
      </c>
      <c r="L8" s="78" t="s">
        <v>123</v>
      </c>
      <c r="M8" s="78" t="s">
        <v>124</v>
      </c>
      <c r="N8" s="78" t="s">
        <v>125</v>
      </c>
      <c r="O8" s="78" t="s">
        <v>126</v>
      </c>
      <c r="P8" s="78" t="s">
        <v>127</v>
      </c>
      <c r="Q8" s="78" t="s">
        <v>128</v>
      </c>
      <c r="R8" s="79" t="s">
        <v>129</v>
      </c>
      <c r="S8" s="79" t="s">
        <v>130</v>
      </c>
      <c r="T8" s="80" t="s">
        <v>131</v>
      </c>
      <c r="U8" s="81"/>
    </row>
    <row r="9" spans="1:21" s="82" customFormat="1" x14ac:dyDescent="0.15">
      <c r="A9" s="74"/>
      <c r="B9" s="75"/>
      <c r="C9" s="75"/>
      <c r="D9" s="83"/>
      <c r="E9" s="76" t="s">
        <v>132</v>
      </c>
      <c r="F9" s="79"/>
      <c r="G9" s="84" t="s">
        <v>218</v>
      </c>
      <c r="H9" s="79"/>
      <c r="I9" s="79" t="s">
        <v>120</v>
      </c>
      <c r="J9" s="79" t="s">
        <v>133</v>
      </c>
      <c r="K9" s="79"/>
      <c r="L9" s="79"/>
      <c r="M9" s="79"/>
      <c r="N9" s="79"/>
      <c r="O9" s="79" t="s">
        <v>134</v>
      </c>
      <c r="P9" s="79"/>
      <c r="Q9" s="79"/>
      <c r="R9" s="79" t="s">
        <v>135</v>
      </c>
      <c r="S9" s="79"/>
      <c r="T9" s="78" t="s">
        <v>136</v>
      </c>
      <c r="U9" s="85" t="s">
        <v>137</v>
      </c>
    </row>
    <row r="10" spans="1:21" s="82" customFormat="1" x14ac:dyDescent="0.15">
      <c r="A10" s="86" t="s">
        <v>138</v>
      </c>
      <c r="B10" s="87"/>
      <c r="C10" s="88"/>
      <c r="D10" s="89"/>
      <c r="E10" s="89" t="s">
        <v>139</v>
      </c>
      <c r="F10" s="90" t="s">
        <v>140</v>
      </c>
      <c r="G10" s="90" t="s">
        <v>141</v>
      </c>
      <c r="H10" s="90" t="s">
        <v>142</v>
      </c>
      <c r="I10" s="90" t="s">
        <v>142</v>
      </c>
      <c r="J10" s="90" t="s">
        <v>143</v>
      </c>
      <c r="K10" s="90" t="s">
        <v>144</v>
      </c>
      <c r="L10" s="90" t="s">
        <v>145</v>
      </c>
      <c r="M10" s="90" t="s">
        <v>146</v>
      </c>
      <c r="N10" s="90" t="s">
        <v>144</v>
      </c>
      <c r="O10" s="90" t="s">
        <v>147</v>
      </c>
      <c r="P10" s="90" t="s">
        <v>148</v>
      </c>
      <c r="Q10" s="90" t="s">
        <v>149</v>
      </c>
      <c r="R10" s="90" t="s">
        <v>150</v>
      </c>
      <c r="S10" s="90" t="s">
        <v>151</v>
      </c>
      <c r="T10" s="90"/>
      <c r="U10" s="91" t="s">
        <v>152</v>
      </c>
    </row>
    <row r="11" spans="1:21" ht="15" customHeight="1" x14ac:dyDescent="0.15">
      <c r="A11" s="92"/>
      <c r="B11" s="79"/>
      <c r="C11" s="93" t="s">
        <v>153</v>
      </c>
      <c r="D11" s="94" t="s">
        <v>154</v>
      </c>
      <c r="E11" s="95">
        <f>COUNTIFS('別紙2-1出動実績報告表'!$O:$O,1,'別紙2-1出動実績報告表'!$P:$P,1,'別紙2-1出動実績報告表'!$Q:$Q,1,'別紙2-1出動実績報告表'!$R:$R,1,'別紙2-1出動実績報告表'!$S:$S,1)</f>
        <v>0</v>
      </c>
      <c r="F11" s="95">
        <f>COUNTIFS('別紙2-1出動実績報告表'!$O:$O,1,'別紙2-1出動実績報告表'!$P:$P,2,'別紙2-1出動実績報告表'!$Q:$Q,1,'別紙2-1出動実績報告表'!$R:$R,1,'別紙2-1出動実績報告表'!$S:$S,1)</f>
        <v>0</v>
      </c>
      <c r="G11" s="95">
        <f>COUNTIFS('別紙2-1出動実績報告表'!$O:$O,1,'別紙2-1出動実績報告表'!$P:$P,3,'別紙2-1出動実績報告表'!$Q:$Q,1,'別紙2-1出動実績報告表'!$R:$R,1,'別紙2-1出動実績報告表'!$S:$S,1)</f>
        <v>0</v>
      </c>
      <c r="H11" s="95">
        <f>COUNTIFS('別紙2-1出動実績報告表'!$O:$O,2,'別紙2-1出動実績報告表'!$P:$P,1,'別紙2-1出動実績報告表'!$Q:$Q,1,'別紙2-1出動実績報告表'!$R:$R,1,'別紙2-1出動実績報告表'!$S:$S,1)</f>
        <v>0</v>
      </c>
      <c r="I11" s="95">
        <f>COUNTIFS('別紙2-1出動実績報告表'!$O:$O,2,'別紙2-1出動実績報告表'!$P:$P,2,'別紙2-1出動実績報告表'!$Q:$Q,1,'別紙2-1出動実績報告表'!$R:$R,1,'別紙2-1出動実績報告表'!$S:$S,1)</f>
        <v>0</v>
      </c>
      <c r="J11" s="95">
        <f>COUNTIFS('別紙2-1出動実績報告表'!$O:$O,3,'別紙2-1出動実績報告表'!$P:$P,1,'別紙2-1出動実績報告表'!$Q:$Q,1,'別紙2-1出動実績報告表'!$R:$R,1,'別紙2-1出動実績報告表'!$S:$S,1)</f>
        <v>0</v>
      </c>
      <c r="K11" s="95">
        <f>COUNTIFS('別紙2-1出動実績報告表'!$O:$O,3,'別紙2-1出動実績報告表'!$P:$P,2,'別紙2-1出動実績報告表'!$Q:$Q,1,'別紙2-1出動実績報告表'!$R:$R,1,'別紙2-1出動実績報告表'!$S:$S,1)</f>
        <v>0</v>
      </c>
      <c r="L11" s="95">
        <f>COUNTIFS('別紙2-1出動実績報告表'!$O:$O,3,'別紙2-1出動実績報告表'!$P:$P,3,'別紙2-1出動実績報告表'!$Q:$Q,1,'別紙2-1出動実績報告表'!$R:$R,1,'別紙2-1出動実績報告表'!$S:$S,1)</f>
        <v>0</v>
      </c>
      <c r="M11" s="95">
        <f>COUNTIFS('別紙2-1出動実績報告表'!$O:$O,4,'別紙2-1出動実績報告表'!$P:$P,1,'別紙2-1出動実績報告表'!$Q:$Q,1,'別紙2-1出動実績報告表'!$R:$R,1,'別紙2-1出動実績報告表'!$S:$S,1)</f>
        <v>0</v>
      </c>
      <c r="N11" s="95">
        <f>COUNTIFS('別紙2-1出動実績報告表'!$O:$O,4,'別紙2-1出動実績報告表'!$P:$P,2,'別紙2-1出動実績報告表'!$Q:$Q,1,'別紙2-1出動実績報告表'!$R:$R,1,'別紙2-1出動実績報告表'!$S:$S,1)</f>
        <v>0</v>
      </c>
      <c r="O11" s="95">
        <f>COUNTIFS('別紙2-1出動実績報告表'!$O:$O,4,'別紙2-1出動実績報告表'!$P:$P,3,'別紙2-1出動実績報告表'!$Q:$Q,1,'別紙2-1出動実績報告表'!$R:$R,1,'別紙2-1出動実績報告表'!$S:$S,1)</f>
        <v>0</v>
      </c>
      <c r="P11" s="95">
        <f>COUNTIFS('別紙2-1出動実績報告表'!$O:$O,4,'別紙2-1出動実績報告表'!$P:$P,4,'別紙2-1出動実績報告表'!$Q:$Q,1,'別紙2-1出動実績報告表'!$R:$R,1,'別紙2-1出動実績報告表'!$S:$S,1)</f>
        <v>0</v>
      </c>
      <c r="Q11" s="95">
        <f>COUNTIFS('別紙2-1出動実績報告表'!$O:$O,5,'別紙2-1出動実績報告表'!$P:$P,1,'別紙2-1出動実績報告表'!$Q:$Q,1,'別紙2-1出動実績報告表'!$R:$R,1,'別紙2-1出動実績報告表'!$S:$S,1)</f>
        <v>0</v>
      </c>
      <c r="R11" s="95">
        <f>COUNTIFS('別紙2-1出動実績報告表'!$O:$O,9,'別紙2-1出動実績報告表'!$P:$P,9,'別紙2-1出動実績報告表'!$Q:$Q,1,'別紙2-1出動実績報告表'!$R:$R,1,'別紙2-1出動実績報告表'!$S:$S,1)</f>
        <v>0</v>
      </c>
      <c r="S11" s="95">
        <f>COUNTIFS('別紙2-1出動実績報告表'!$O:$O,0,'別紙2-1出動実績報告表'!$P:$P,0,'別紙2-1出動実績報告表'!$Q:$Q,1,'別紙2-1出動実績報告表'!$R:$R,1,'別紙2-1出動実績報告表'!$S:$S,1)</f>
        <v>0</v>
      </c>
      <c r="T11" s="95">
        <f>SUM(E11:S11)</f>
        <v>0</v>
      </c>
      <c r="U11" s="96"/>
    </row>
    <row r="12" spans="1:21" ht="15" customHeight="1" x14ac:dyDescent="0.15">
      <c r="A12" s="97"/>
      <c r="B12" s="79"/>
      <c r="C12" s="93" t="s">
        <v>155</v>
      </c>
      <c r="D12" s="98" t="s">
        <v>156</v>
      </c>
      <c r="E12" s="95">
        <f>COUNTIFS('別紙2-1出動実績報告表'!$O:$O,1,'別紙2-1出動実績報告表'!$P:$P,1,'別紙2-1出動実績報告表'!$Q:$Q,1,'別紙2-1出動実績報告表'!$R:$R,1,'別紙2-1出動実績報告表'!$S:$S,2)</f>
        <v>0</v>
      </c>
      <c r="F12" s="95">
        <f>COUNTIFS('別紙2-1出動実績報告表'!$O:$O,1,'別紙2-1出動実績報告表'!$P:$P,2,'別紙2-1出動実績報告表'!$Q:$Q,1,'別紙2-1出動実績報告表'!$R:$R,1,'別紙2-1出動実績報告表'!$S:$S,2)</f>
        <v>0</v>
      </c>
      <c r="G12" s="95">
        <f>COUNTIFS('別紙2-1出動実績報告表'!$O:$O,1,'別紙2-1出動実績報告表'!$P:$P,3,'別紙2-1出動実績報告表'!$Q:$Q,1,'別紙2-1出動実績報告表'!$R:$R,1,'別紙2-1出動実績報告表'!$S:$S,2)</f>
        <v>0</v>
      </c>
      <c r="H12" s="95">
        <f>COUNTIFS('別紙2-1出動実績報告表'!$O:$O,2,'別紙2-1出動実績報告表'!$P:$P,1,'別紙2-1出動実績報告表'!$Q:$Q,1,'別紙2-1出動実績報告表'!$R:$R,1,'別紙2-1出動実績報告表'!$S:$S,2)</f>
        <v>0</v>
      </c>
      <c r="I12" s="95">
        <f>COUNTIFS('別紙2-1出動実績報告表'!$O:$O,2,'別紙2-1出動実績報告表'!$P:$P,2,'別紙2-1出動実績報告表'!$Q:$Q,1,'別紙2-1出動実績報告表'!$R:$R,1,'別紙2-1出動実績報告表'!$S:$S,2)</f>
        <v>0</v>
      </c>
      <c r="J12" s="95">
        <f>COUNTIFS('別紙2-1出動実績報告表'!$O:$O,3,'別紙2-1出動実績報告表'!$P:$P,1,'別紙2-1出動実績報告表'!$Q:$Q,1,'別紙2-1出動実績報告表'!$R:$R,1,'別紙2-1出動実績報告表'!$S:$S,2)</f>
        <v>0</v>
      </c>
      <c r="K12" s="95">
        <f>COUNTIFS('別紙2-1出動実績報告表'!$O:$O,3,'別紙2-1出動実績報告表'!$P:$P,2,'別紙2-1出動実績報告表'!$Q:$Q,1,'別紙2-1出動実績報告表'!$R:$R,1,'別紙2-1出動実績報告表'!$S:$S,2)</f>
        <v>0</v>
      </c>
      <c r="L12" s="95">
        <f>COUNTIFS('別紙2-1出動実績報告表'!$O:$O,3,'別紙2-1出動実績報告表'!$P:$P,3,'別紙2-1出動実績報告表'!$Q:$Q,1,'別紙2-1出動実績報告表'!$R:$R,1,'別紙2-1出動実績報告表'!$S:$S,2)</f>
        <v>0</v>
      </c>
      <c r="M12" s="95">
        <f>COUNTIFS('別紙2-1出動実績報告表'!$O:$O,4,'別紙2-1出動実績報告表'!$P:$P,1,'別紙2-1出動実績報告表'!$Q:$Q,1,'別紙2-1出動実績報告表'!$R:$R,1,'別紙2-1出動実績報告表'!$S:$S,2)</f>
        <v>0</v>
      </c>
      <c r="N12" s="95">
        <f>COUNTIFS('別紙2-1出動実績報告表'!$O:$O,4,'別紙2-1出動実績報告表'!$P:$P,2,'別紙2-1出動実績報告表'!$Q:$Q,1,'別紙2-1出動実績報告表'!$R:$R,1,'別紙2-1出動実績報告表'!$S:$S,2)</f>
        <v>0</v>
      </c>
      <c r="O12" s="95">
        <f>COUNTIFS('別紙2-1出動実績報告表'!$O:$O,4,'別紙2-1出動実績報告表'!$P:$P,3,'別紙2-1出動実績報告表'!$Q:$Q,1,'別紙2-1出動実績報告表'!$R:$R,1,'別紙2-1出動実績報告表'!$S:$S,2)</f>
        <v>0</v>
      </c>
      <c r="P12" s="95">
        <f>COUNTIFS('別紙2-1出動実績報告表'!$O:$O,4,'別紙2-1出動実績報告表'!$P:$P,4,'別紙2-1出動実績報告表'!$Q:$Q,1,'別紙2-1出動実績報告表'!$R:$R,1,'別紙2-1出動実績報告表'!$S:$S,2)</f>
        <v>0</v>
      </c>
      <c r="Q12" s="95">
        <f>COUNTIFS('別紙2-1出動実績報告表'!$O:$O,5,'別紙2-1出動実績報告表'!$P:$P,1,'別紙2-1出動実績報告表'!$Q:$Q,1,'別紙2-1出動実績報告表'!$R:$R,1,'別紙2-1出動実績報告表'!$S:$S,2)</f>
        <v>0</v>
      </c>
      <c r="R12" s="95">
        <f>COUNTIFS('別紙2-1出動実績報告表'!$O:$O,9,'別紙2-1出動実績報告表'!$P:$P,9,'別紙2-1出動実績報告表'!$Q:$Q,1,'別紙2-1出動実績報告表'!$R:$R,1,'別紙2-1出動実績報告表'!$S:$S,2)</f>
        <v>0</v>
      </c>
      <c r="S12" s="95">
        <f>COUNTIFS('別紙2-1出動実績報告表'!$O:$O,0,'別紙2-1出動実績報告表'!$P:$P,0,'別紙2-1出動実績報告表'!$Q:$Q,1,'別紙2-1出動実績報告表'!$R:$R,1,'別紙2-1出動実績報告表'!$S:$S,2)</f>
        <v>0</v>
      </c>
      <c r="T12" s="95">
        <f t="shared" ref="T12:T41" si="0">SUM(E12:S12)</f>
        <v>0</v>
      </c>
      <c r="U12" s="96"/>
    </row>
    <row r="13" spans="1:21" ht="15" customHeight="1" x14ac:dyDescent="0.15">
      <c r="A13" s="97"/>
      <c r="B13" s="79"/>
      <c r="C13" s="93" t="s">
        <v>157</v>
      </c>
      <c r="D13" s="98" t="s">
        <v>158</v>
      </c>
      <c r="E13" s="95">
        <f>COUNTIFS('別紙2-1出動実績報告表'!$O:$O,1,'別紙2-1出動実績報告表'!$P:$P,1,'別紙2-1出動実績報告表'!$Q:$Q,1,'別紙2-1出動実績報告表'!$R:$R,1,'別紙2-1出動実績報告表'!$S:$S,3)</f>
        <v>0</v>
      </c>
      <c r="F13" s="95">
        <f>COUNTIFS('別紙2-1出動実績報告表'!$O:$O,1,'別紙2-1出動実績報告表'!$P:$P,2,'別紙2-1出動実績報告表'!$Q:$Q,1,'別紙2-1出動実績報告表'!$R:$R,1,'別紙2-1出動実績報告表'!$S:$S,3)</f>
        <v>0</v>
      </c>
      <c r="G13" s="95">
        <f>COUNTIFS('別紙2-1出動実績報告表'!$O:$O,1,'別紙2-1出動実績報告表'!$P:$P,3,'別紙2-1出動実績報告表'!$Q:$Q,1,'別紙2-1出動実績報告表'!$R:$R,1,'別紙2-1出動実績報告表'!$S:$S,3)</f>
        <v>0</v>
      </c>
      <c r="H13" s="95">
        <f>COUNTIFS('別紙2-1出動実績報告表'!$O:$O,2,'別紙2-1出動実績報告表'!$P:$P,1,'別紙2-1出動実績報告表'!$Q:$Q,1,'別紙2-1出動実績報告表'!$R:$R,1,'別紙2-1出動実績報告表'!$S:$S,3)</f>
        <v>0</v>
      </c>
      <c r="I13" s="95">
        <f>COUNTIFS('別紙2-1出動実績報告表'!$O:$O,2,'別紙2-1出動実績報告表'!$P:$P,2,'別紙2-1出動実績報告表'!$Q:$Q,1,'別紙2-1出動実績報告表'!$R:$R,1,'別紙2-1出動実績報告表'!$S:$S,3)</f>
        <v>0</v>
      </c>
      <c r="J13" s="95">
        <f>COUNTIFS('別紙2-1出動実績報告表'!$O:$O,3,'別紙2-1出動実績報告表'!$P:$P,1,'別紙2-1出動実績報告表'!$Q:$Q,1,'別紙2-1出動実績報告表'!$R:$R,1,'別紙2-1出動実績報告表'!$S:$S,3)</f>
        <v>0</v>
      </c>
      <c r="K13" s="95">
        <f>COUNTIFS('別紙2-1出動実績報告表'!$O:$O,3,'別紙2-1出動実績報告表'!$P:$P,2,'別紙2-1出動実績報告表'!$Q:$Q,1,'別紙2-1出動実績報告表'!$R:$R,1,'別紙2-1出動実績報告表'!$S:$S,3)</f>
        <v>0</v>
      </c>
      <c r="L13" s="95">
        <f>COUNTIFS('別紙2-1出動実績報告表'!$O:$O,3,'別紙2-1出動実績報告表'!$P:$P,3,'別紙2-1出動実績報告表'!$Q:$Q,1,'別紙2-1出動実績報告表'!$R:$R,1,'別紙2-1出動実績報告表'!$S:$S,3)</f>
        <v>0</v>
      </c>
      <c r="M13" s="95">
        <f>COUNTIFS('別紙2-1出動実績報告表'!$O:$O,4,'別紙2-1出動実績報告表'!$P:$P,1,'別紙2-1出動実績報告表'!$Q:$Q,1,'別紙2-1出動実績報告表'!$R:$R,1,'別紙2-1出動実績報告表'!$S:$S,3)</f>
        <v>0</v>
      </c>
      <c r="N13" s="95">
        <f>COUNTIFS('別紙2-1出動実績報告表'!$O:$O,4,'別紙2-1出動実績報告表'!$P:$P,2,'別紙2-1出動実績報告表'!$Q:$Q,1,'別紙2-1出動実績報告表'!$R:$R,1,'別紙2-1出動実績報告表'!$S:$S,3)</f>
        <v>0</v>
      </c>
      <c r="O13" s="95">
        <f>COUNTIFS('別紙2-1出動実績報告表'!$O:$O,4,'別紙2-1出動実績報告表'!$P:$P,3,'別紙2-1出動実績報告表'!$Q:$Q,1,'別紙2-1出動実績報告表'!$R:$R,1,'別紙2-1出動実績報告表'!$S:$S,3)</f>
        <v>0</v>
      </c>
      <c r="P13" s="95">
        <f>COUNTIFS('別紙2-1出動実績報告表'!$O:$O,4,'別紙2-1出動実績報告表'!$P:$P,4,'別紙2-1出動実績報告表'!$Q:$Q,1,'別紙2-1出動実績報告表'!$R:$R,1,'別紙2-1出動実績報告表'!$S:$S,3)</f>
        <v>0</v>
      </c>
      <c r="Q13" s="95">
        <f>COUNTIFS('別紙2-1出動実績報告表'!$O:$O,5,'別紙2-1出動実績報告表'!$P:$P,1,'別紙2-1出動実績報告表'!$Q:$Q,1,'別紙2-1出動実績報告表'!$R:$R,1,'別紙2-1出動実績報告表'!$S:$S,3)</f>
        <v>0</v>
      </c>
      <c r="R13" s="95">
        <f>COUNTIFS('別紙2-1出動実績報告表'!$O:$O,9,'別紙2-1出動実績報告表'!$P:$P,9,'別紙2-1出動実績報告表'!$Q:$Q,1,'別紙2-1出動実績報告表'!$R:$R,1,'別紙2-1出動実績報告表'!$S:$S,3)</f>
        <v>0</v>
      </c>
      <c r="S13" s="95">
        <f>COUNTIFS('別紙2-1出動実績報告表'!$O:$O,0,'別紙2-1出動実績報告表'!$P:$P,0,'別紙2-1出動実績報告表'!$Q:$Q,1,'別紙2-1出動実績報告表'!$R:$R,1,'別紙2-1出動実績報告表'!$S:$S,3)</f>
        <v>0</v>
      </c>
      <c r="T13" s="95">
        <f t="shared" si="0"/>
        <v>0</v>
      </c>
      <c r="U13" s="96"/>
    </row>
    <row r="14" spans="1:21" ht="15" customHeight="1" x14ac:dyDescent="0.15">
      <c r="A14" s="97"/>
      <c r="B14" s="79" t="s">
        <v>159</v>
      </c>
      <c r="C14" s="93" t="s">
        <v>160</v>
      </c>
      <c r="D14" s="98" t="s">
        <v>161</v>
      </c>
      <c r="E14" s="95">
        <f>COUNTIFS('別紙2-1出動実績報告表'!$O:$O,1,'別紙2-1出動実績報告表'!$P:$P,1,'別紙2-1出動実績報告表'!$Q:$Q,1,'別紙2-1出動実績報告表'!$R:$R,1,'別紙2-1出動実績報告表'!$S:$S,4)</f>
        <v>0</v>
      </c>
      <c r="F14" s="95">
        <f>COUNTIFS('別紙2-1出動実績報告表'!$O:$O,1,'別紙2-1出動実績報告表'!$P:$P,2,'別紙2-1出動実績報告表'!$Q:$Q,1,'別紙2-1出動実績報告表'!$R:$R,1,'別紙2-1出動実績報告表'!$S:$S,4)</f>
        <v>0</v>
      </c>
      <c r="G14" s="95">
        <f>COUNTIFS('別紙2-1出動実績報告表'!$O:$O,1,'別紙2-1出動実績報告表'!$P:$P,3,'別紙2-1出動実績報告表'!$Q:$Q,1,'別紙2-1出動実績報告表'!$R:$R,1,'別紙2-1出動実績報告表'!$S:$S,4)</f>
        <v>0</v>
      </c>
      <c r="H14" s="95">
        <f>COUNTIFS('別紙2-1出動実績報告表'!$O:$O,2,'別紙2-1出動実績報告表'!$P:$P,1,'別紙2-1出動実績報告表'!$Q:$Q,1,'別紙2-1出動実績報告表'!$R:$R,1,'別紙2-1出動実績報告表'!$S:$S,4)</f>
        <v>0</v>
      </c>
      <c r="I14" s="95">
        <f>COUNTIFS('別紙2-1出動実績報告表'!$O:$O,2,'別紙2-1出動実績報告表'!$P:$P,2,'別紙2-1出動実績報告表'!$Q:$Q,1,'別紙2-1出動実績報告表'!$R:$R,1,'別紙2-1出動実績報告表'!$S:$S,4)</f>
        <v>0</v>
      </c>
      <c r="J14" s="95">
        <f>COUNTIFS('別紙2-1出動実績報告表'!$O:$O,3,'別紙2-1出動実績報告表'!$P:$P,1,'別紙2-1出動実績報告表'!$Q:$Q,1,'別紙2-1出動実績報告表'!$R:$R,1,'別紙2-1出動実績報告表'!$S:$S,4)</f>
        <v>0</v>
      </c>
      <c r="K14" s="95">
        <f>COUNTIFS('別紙2-1出動実績報告表'!$O:$O,3,'別紙2-1出動実績報告表'!$P:$P,2,'別紙2-1出動実績報告表'!$Q:$Q,1,'別紙2-1出動実績報告表'!$R:$R,1,'別紙2-1出動実績報告表'!$S:$S,4)</f>
        <v>0</v>
      </c>
      <c r="L14" s="95">
        <f>COUNTIFS('別紙2-1出動実績報告表'!$O:$O,3,'別紙2-1出動実績報告表'!$P:$P,3,'別紙2-1出動実績報告表'!$Q:$Q,1,'別紙2-1出動実績報告表'!$R:$R,1,'別紙2-1出動実績報告表'!$S:$S,4)</f>
        <v>0</v>
      </c>
      <c r="M14" s="95">
        <f>COUNTIFS('別紙2-1出動実績報告表'!$O:$O,4,'別紙2-1出動実績報告表'!$P:$P,1,'別紙2-1出動実績報告表'!$Q:$Q,1,'別紙2-1出動実績報告表'!$R:$R,1,'別紙2-1出動実績報告表'!$S:$S,4)</f>
        <v>0</v>
      </c>
      <c r="N14" s="95">
        <f>COUNTIFS('別紙2-1出動実績報告表'!$O:$O,4,'別紙2-1出動実績報告表'!$P:$P,2,'別紙2-1出動実績報告表'!$Q:$Q,1,'別紙2-1出動実績報告表'!$R:$R,1,'別紙2-1出動実績報告表'!$S:$S,4)</f>
        <v>0</v>
      </c>
      <c r="O14" s="95">
        <f>COUNTIFS('別紙2-1出動実績報告表'!$O:$O,4,'別紙2-1出動実績報告表'!$P:$P,3,'別紙2-1出動実績報告表'!$Q:$Q,1,'別紙2-1出動実績報告表'!$R:$R,1,'別紙2-1出動実績報告表'!$S:$S,4)</f>
        <v>0</v>
      </c>
      <c r="P14" s="95">
        <f>COUNTIFS('別紙2-1出動実績報告表'!$O:$O,4,'別紙2-1出動実績報告表'!$P:$P,4,'別紙2-1出動実績報告表'!$Q:$Q,1,'別紙2-1出動実績報告表'!$R:$R,1,'別紙2-1出動実績報告表'!$S:$S,4)</f>
        <v>0</v>
      </c>
      <c r="Q14" s="95">
        <f>COUNTIFS('別紙2-1出動実績報告表'!$O:$O,5,'別紙2-1出動実績報告表'!$P:$P,1,'別紙2-1出動実績報告表'!$Q:$Q,1,'別紙2-1出動実績報告表'!$R:$R,1,'別紙2-1出動実績報告表'!$S:$S,4)</f>
        <v>0</v>
      </c>
      <c r="R14" s="95">
        <f>COUNTIFS('別紙2-1出動実績報告表'!$O:$O,9,'別紙2-1出動実績報告表'!$P:$P,9,'別紙2-1出動実績報告表'!$Q:$Q,1,'別紙2-1出動実績報告表'!$R:$R,1,'別紙2-1出動実績報告表'!$S:$S,4)</f>
        <v>0</v>
      </c>
      <c r="S14" s="95">
        <f>COUNTIFS('別紙2-1出動実績報告表'!$O:$O,0,'別紙2-1出動実績報告表'!$P:$P,0,'別紙2-1出動実績報告表'!$Q:$Q,1,'別紙2-1出動実績報告表'!$R:$R,1,'別紙2-1出動実績報告表'!$S:$S,4)</f>
        <v>0</v>
      </c>
      <c r="T14" s="95">
        <f t="shared" si="0"/>
        <v>0</v>
      </c>
      <c r="U14" s="96"/>
    </row>
    <row r="15" spans="1:21" ht="15" customHeight="1" x14ac:dyDescent="0.15">
      <c r="A15" s="97"/>
      <c r="B15" s="79"/>
      <c r="C15" s="94"/>
      <c r="D15" s="98" t="s">
        <v>162</v>
      </c>
      <c r="E15" s="95">
        <f>COUNTIFS('別紙2-1出動実績報告表'!$O:$O,1,'別紙2-1出動実績報告表'!$P:$P,1,'別紙2-1出動実績報告表'!$Q:$Q,1,'別紙2-1出動実績報告表'!$R:$R,1,'別紙2-1出動実績報告表'!$S:$S,9)</f>
        <v>0</v>
      </c>
      <c r="F15" s="95">
        <f>COUNTIFS('別紙2-1出動実績報告表'!$O:$O,1,'別紙2-1出動実績報告表'!$P:$P,2,'別紙2-1出動実績報告表'!$Q:$Q,1,'別紙2-1出動実績報告表'!$R:$R,1,'別紙2-1出動実績報告表'!$S:$S,9)</f>
        <v>0</v>
      </c>
      <c r="G15" s="95">
        <f>COUNTIFS('別紙2-1出動実績報告表'!$O:$O,1,'別紙2-1出動実績報告表'!$P:$P,3,'別紙2-1出動実績報告表'!$Q:$Q,1,'別紙2-1出動実績報告表'!$R:$R,1,'別紙2-1出動実績報告表'!$S:$S,9)</f>
        <v>0</v>
      </c>
      <c r="H15" s="95">
        <f>COUNTIFS('別紙2-1出動実績報告表'!$O:$O,2,'別紙2-1出動実績報告表'!$P:$P,1,'別紙2-1出動実績報告表'!$Q:$Q,1,'別紙2-1出動実績報告表'!$R:$R,1,'別紙2-1出動実績報告表'!$S:$S,9)</f>
        <v>0</v>
      </c>
      <c r="I15" s="95">
        <f>COUNTIFS('別紙2-1出動実績報告表'!$O:$O,2,'別紙2-1出動実績報告表'!$P:$P,2,'別紙2-1出動実績報告表'!$Q:$Q,1,'別紙2-1出動実績報告表'!$R:$R,1,'別紙2-1出動実績報告表'!$S:$S,9)</f>
        <v>0</v>
      </c>
      <c r="J15" s="95">
        <f>COUNTIFS('別紙2-1出動実績報告表'!$O:$O,3,'別紙2-1出動実績報告表'!$P:$P,1,'別紙2-1出動実績報告表'!$Q:$Q,1,'別紙2-1出動実績報告表'!$R:$R,1,'別紙2-1出動実績報告表'!$S:$S,9)</f>
        <v>0</v>
      </c>
      <c r="K15" s="95">
        <f>COUNTIFS('別紙2-1出動実績報告表'!$O:$O,3,'別紙2-1出動実績報告表'!$P:$P,2,'別紙2-1出動実績報告表'!$Q:$Q,1,'別紙2-1出動実績報告表'!$R:$R,1,'別紙2-1出動実績報告表'!$S:$S,9)</f>
        <v>0</v>
      </c>
      <c r="L15" s="95">
        <f>COUNTIFS('別紙2-1出動実績報告表'!$O:$O,3,'別紙2-1出動実績報告表'!$P:$P,3,'別紙2-1出動実績報告表'!$Q:$Q,1,'別紙2-1出動実績報告表'!$R:$R,1,'別紙2-1出動実績報告表'!$S:$S,9)</f>
        <v>0</v>
      </c>
      <c r="M15" s="95">
        <f>COUNTIFS('別紙2-1出動実績報告表'!$O:$O,4,'別紙2-1出動実績報告表'!$P:$P,1,'別紙2-1出動実績報告表'!$Q:$Q,1,'別紙2-1出動実績報告表'!$R:$R,1,'別紙2-1出動実績報告表'!$S:$S,9)</f>
        <v>0</v>
      </c>
      <c r="N15" s="95">
        <f>COUNTIFS('別紙2-1出動実績報告表'!$O:$O,4,'別紙2-1出動実績報告表'!$P:$P,2,'別紙2-1出動実績報告表'!$Q:$Q,1,'別紙2-1出動実績報告表'!$R:$R,1,'別紙2-1出動実績報告表'!$S:$S,9)</f>
        <v>0</v>
      </c>
      <c r="O15" s="95">
        <f>COUNTIFS('別紙2-1出動実績報告表'!$O:$O,4,'別紙2-1出動実績報告表'!$P:$P,3,'別紙2-1出動実績報告表'!$Q:$Q,1,'別紙2-1出動実績報告表'!$R:$R,1,'別紙2-1出動実績報告表'!$S:$S,9)</f>
        <v>0</v>
      </c>
      <c r="P15" s="95">
        <f>COUNTIFS('別紙2-1出動実績報告表'!$O:$O,4,'別紙2-1出動実績報告表'!$P:$P,4,'別紙2-1出動実績報告表'!$Q:$Q,1,'別紙2-1出動実績報告表'!$R:$R,1,'別紙2-1出動実績報告表'!$S:$S,9)</f>
        <v>0</v>
      </c>
      <c r="Q15" s="95">
        <f>COUNTIFS('別紙2-1出動実績報告表'!$O:$O,5,'別紙2-1出動実績報告表'!$P:$P,1,'別紙2-1出動実績報告表'!$Q:$Q,1,'別紙2-1出動実績報告表'!$R:$R,1,'別紙2-1出動実績報告表'!$S:$S,9)</f>
        <v>0</v>
      </c>
      <c r="R15" s="95">
        <f>COUNTIFS('別紙2-1出動実績報告表'!$O:$O,9,'別紙2-1出動実績報告表'!$P:$P,9,'別紙2-1出動実績報告表'!$Q:$Q,1,'別紙2-1出動実績報告表'!$R:$R,1,'別紙2-1出動実績報告表'!$S:$S,9)</f>
        <v>0</v>
      </c>
      <c r="S15" s="95">
        <f>COUNTIFS('別紙2-1出動実績報告表'!$O:$O,0,'別紙2-1出動実績報告表'!$P:$P,0,'別紙2-1出動実績報告表'!$Q:$Q,1,'別紙2-1出動実績報告表'!$R:$R,1,'別紙2-1出動実績報告表'!$S:$S,9)</f>
        <v>0</v>
      </c>
      <c r="T15" s="95">
        <f t="shared" si="0"/>
        <v>0</v>
      </c>
      <c r="U15" s="96"/>
    </row>
    <row r="16" spans="1:21" ht="15" customHeight="1" x14ac:dyDescent="0.15">
      <c r="A16" s="97"/>
      <c r="B16" s="79"/>
      <c r="C16" s="99" t="s">
        <v>163</v>
      </c>
      <c r="D16" s="98" t="s">
        <v>164</v>
      </c>
      <c r="E16" s="95">
        <f>COUNTIFS('別紙2-1出動実績報告表'!$O:$O,1,'別紙2-1出動実績報告表'!$P:$P,1,'別紙2-1出動実績報告表'!$Q:$Q,1,'別紙2-1出動実績報告表'!$R:$R,2,'別紙2-1出動実績報告表'!$S:$S,1)</f>
        <v>0</v>
      </c>
      <c r="F16" s="95">
        <f>COUNTIFS('別紙2-1出動実績報告表'!$O:$O,1,'別紙2-1出動実績報告表'!$P:$P,2,'別紙2-1出動実績報告表'!$Q:$Q,1,'別紙2-1出動実績報告表'!$R:$R,2,'別紙2-1出動実績報告表'!$S:$S,1)</f>
        <v>0</v>
      </c>
      <c r="G16" s="95">
        <f>COUNTIFS('別紙2-1出動実績報告表'!$O:$O,1,'別紙2-1出動実績報告表'!$P:$P,3,'別紙2-1出動実績報告表'!$Q:$Q,1,'別紙2-1出動実績報告表'!$R:$R,2,'別紙2-1出動実績報告表'!$S:$S,1)</f>
        <v>0</v>
      </c>
      <c r="H16" s="95">
        <f>COUNTIFS('別紙2-1出動実績報告表'!$O:$O,2,'別紙2-1出動実績報告表'!$P:$P,1,'別紙2-1出動実績報告表'!$Q:$Q,1,'別紙2-1出動実績報告表'!$R:$R,2,'別紙2-1出動実績報告表'!$S:$S,1)</f>
        <v>0</v>
      </c>
      <c r="I16" s="95">
        <f>COUNTIFS('別紙2-1出動実績報告表'!$O:$O,2,'別紙2-1出動実績報告表'!$P:$P,2,'別紙2-1出動実績報告表'!$Q:$Q,1,'別紙2-1出動実績報告表'!$R:$R,2,'別紙2-1出動実績報告表'!$S:$S,1)</f>
        <v>0</v>
      </c>
      <c r="J16" s="95">
        <f>COUNTIFS('別紙2-1出動実績報告表'!$O:$O,3,'別紙2-1出動実績報告表'!$P:$P,1,'別紙2-1出動実績報告表'!$Q:$Q,1,'別紙2-1出動実績報告表'!$R:$R,2,'別紙2-1出動実績報告表'!$S:$S,1)</f>
        <v>0</v>
      </c>
      <c r="K16" s="95">
        <f>COUNTIFS('別紙2-1出動実績報告表'!$O:$O,3,'別紙2-1出動実績報告表'!$P:$P,2,'別紙2-1出動実績報告表'!$Q:$Q,1,'別紙2-1出動実績報告表'!$R:$R,2,'別紙2-1出動実績報告表'!$S:$S,1)</f>
        <v>0</v>
      </c>
      <c r="L16" s="95">
        <f>COUNTIFS('別紙2-1出動実績報告表'!$O:$O,3,'別紙2-1出動実績報告表'!$P:$P,3,'別紙2-1出動実績報告表'!$Q:$Q,1,'別紙2-1出動実績報告表'!$R:$R,2,'別紙2-1出動実績報告表'!$S:$S,1)</f>
        <v>0</v>
      </c>
      <c r="M16" s="95">
        <f>COUNTIFS('別紙2-1出動実績報告表'!$O:$O,4,'別紙2-1出動実績報告表'!$P:$P,1,'別紙2-1出動実績報告表'!$Q:$Q,1,'別紙2-1出動実績報告表'!$R:$R,2,'別紙2-1出動実績報告表'!$S:$S,1)</f>
        <v>0</v>
      </c>
      <c r="N16" s="95">
        <f>COUNTIFS('別紙2-1出動実績報告表'!$O:$O,4,'別紙2-1出動実績報告表'!$P:$P,2,'別紙2-1出動実績報告表'!$Q:$Q,1,'別紙2-1出動実績報告表'!$R:$R,2,'別紙2-1出動実績報告表'!$S:$S,1)</f>
        <v>0</v>
      </c>
      <c r="O16" s="95">
        <f>COUNTIFS('別紙2-1出動実績報告表'!$O:$O,4,'別紙2-1出動実績報告表'!$P:$P,3,'別紙2-1出動実績報告表'!$Q:$Q,1,'別紙2-1出動実績報告表'!$R:$R,2,'別紙2-1出動実績報告表'!$S:$S,1)</f>
        <v>0</v>
      </c>
      <c r="P16" s="95">
        <f>COUNTIFS('別紙2-1出動実績報告表'!$O:$O,4,'別紙2-1出動実績報告表'!$P:$P,4,'別紙2-1出動実績報告表'!$Q:$Q,1,'別紙2-1出動実績報告表'!$R:$R,2,'別紙2-1出動実績報告表'!$S:$S,1)</f>
        <v>0</v>
      </c>
      <c r="Q16" s="95">
        <f>COUNTIFS('別紙2-1出動実績報告表'!$O:$O,5,'別紙2-1出動実績報告表'!$P:$P,1,'別紙2-1出動実績報告表'!$Q:$Q,1,'別紙2-1出動実績報告表'!$R:$R,2,'別紙2-1出動実績報告表'!$S:$S,1)</f>
        <v>0</v>
      </c>
      <c r="R16" s="95">
        <f>COUNTIFS('別紙2-1出動実績報告表'!$O:$O,9,'別紙2-1出動実績報告表'!$P:$P,9,'別紙2-1出動実績報告表'!$Q:$Q,1,'別紙2-1出動実績報告表'!$R:$R,2,'別紙2-1出動実績報告表'!$S:$S,1)</f>
        <v>0</v>
      </c>
      <c r="S16" s="95">
        <f>COUNTIFS('別紙2-1出動実績報告表'!$O:$O,0,'別紙2-1出動実績報告表'!$P:$P,0,'別紙2-1出動実績報告表'!$Q:$Q,1,'別紙2-1出動実績報告表'!$R:$R,2,'別紙2-1出動実績報告表'!$S:$S,1)</f>
        <v>0</v>
      </c>
      <c r="T16" s="95">
        <f t="shared" si="0"/>
        <v>0</v>
      </c>
      <c r="U16" s="96"/>
    </row>
    <row r="17" spans="1:21" ht="15" customHeight="1" x14ac:dyDescent="0.15">
      <c r="A17" s="97"/>
      <c r="B17" s="79"/>
      <c r="C17" s="94" t="s">
        <v>165</v>
      </c>
      <c r="D17" s="98" t="s">
        <v>162</v>
      </c>
      <c r="E17" s="95">
        <f>COUNTIFS('別紙2-1出動実績報告表'!$O:$O,1,'別紙2-1出動実績報告表'!$P:$P,1,'別紙2-1出動実績報告表'!$Q:$Q,1,'別紙2-1出動実績報告表'!$R:$R,2,'別紙2-1出動実績報告表'!$S:$S,9)</f>
        <v>0</v>
      </c>
      <c r="F17" s="95">
        <f>COUNTIFS('別紙2-1出動実績報告表'!$O:$O,1,'別紙2-1出動実績報告表'!$P:$P,2,'別紙2-1出動実績報告表'!$Q:$Q,1,'別紙2-1出動実績報告表'!$R:$R,2,'別紙2-1出動実績報告表'!$S:$S,9)</f>
        <v>0</v>
      </c>
      <c r="G17" s="95">
        <f>COUNTIFS('別紙2-1出動実績報告表'!$O:$O,1,'別紙2-1出動実績報告表'!$P:$P,3,'別紙2-1出動実績報告表'!$Q:$Q,1,'別紙2-1出動実績報告表'!$R:$R,2,'別紙2-1出動実績報告表'!$S:$S,9)</f>
        <v>0</v>
      </c>
      <c r="H17" s="95">
        <f>COUNTIFS('別紙2-1出動実績報告表'!$O:$O,2,'別紙2-1出動実績報告表'!$P:$P,1,'別紙2-1出動実績報告表'!$Q:$Q,1,'別紙2-1出動実績報告表'!$R:$R,2,'別紙2-1出動実績報告表'!$S:$S,9)</f>
        <v>0</v>
      </c>
      <c r="I17" s="95">
        <f>COUNTIFS('別紙2-1出動実績報告表'!$O:$O,2,'別紙2-1出動実績報告表'!$P:$P,2,'別紙2-1出動実績報告表'!$Q:$Q,1,'別紙2-1出動実績報告表'!$R:$R,2,'別紙2-1出動実績報告表'!$S:$S,9)</f>
        <v>0</v>
      </c>
      <c r="J17" s="95">
        <f>COUNTIFS('別紙2-1出動実績報告表'!$O:$O,3,'別紙2-1出動実績報告表'!$P:$P,1,'別紙2-1出動実績報告表'!$Q:$Q,1,'別紙2-1出動実績報告表'!$R:$R,2,'別紙2-1出動実績報告表'!$S:$S,9)</f>
        <v>0</v>
      </c>
      <c r="K17" s="95">
        <f>COUNTIFS('別紙2-1出動実績報告表'!$O:$O,3,'別紙2-1出動実績報告表'!$P:$P,2,'別紙2-1出動実績報告表'!$Q:$Q,1,'別紙2-1出動実績報告表'!$R:$R,2,'別紙2-1出動実績報告表'!$S:$S,9)</f>
        <v>0</v>
      </c>
      <c r="L17" s="95">
        <f>COUNTIFS('別紙2-1出動実績報告表'!$O:$O,3,'別紙2-1出動実績報告表'!$P:$P,3,'別紙2-1出動実績報告表'!$Q:$Q,1,'別紙2-1出動実績報告表'!$R:$R,2,'別紙2-1出動実績報告表'!$S:$S,9)</f>
        <v>0</v>
      </c>
      <c r="M17" s="95">
        <f>COUNTIFS('別紙2-1出動実績報告表'!$O:$O,4,'別紙2-1出動実績報告表'!$P:$P,1,'別紙2-1出動実績報告表'!$Q:$Q,1,'別紙2-1出動実績報告表'!$R:$R,2,'別紙2-1出動実績報告表'!$S:$S,9)</f>
        <v>0</v>
      </c>
      <c r="N17" s="95">
        <f>COUNTIFS('別紙2-1出動実績報告表'!$O:$O,4,'別紙2-1出動実績報告表'!$P:$P,2,'別紙2-1出動実績報告表'!$Q:$Q,1,'別紙2-1出動実績報告表'!$R:$R,2,'別紙2-1出動実績報告表'!$S:$S,9)</f>
        <v>0</v>
      </c>
      <c r="O17" s="95">
        <f>COUNTIFS('別紙2-1出動実績報告表'!$O:$O,4,'別紙2-1出動実績報告表'!$P:$P,3,'別紙2-1出動実績報告表'!$Q:$Q,1,'別紙2-1出動実績報告表'!$R:$R,2,'別紙2-1出動実績報告表'!$S:$S,9)</f>
        <v>0</v>
      </c>
      <c r="P17" s="95">
        <f>COUNTIFS('別紙2-1出動実績報告表'!$O:$O,4,'別紙2-1出動実績報告表'!$P:$P,4,'別紙2-1出動実績報告表'!$Q:$Q,1,'別紙2-1出動実績報告表'!$R:$R,2,'別紙2-1出動実績報告表'!$S:$S,9)</f>
        <v>0</v>
      </c>
      <c r="Q17" s="95">
        <f>COUNTIFS('別紙2-1出動実績報告表'!$O:$O,5,'別紙2-1出動実績報告表'!$P:$P,1,'別紙2-1出動実績報告表'!$Q:$Q,1,'別紙2-1出動実績報告表'!$R:$R,2,'別紙2-1出動実績報告表'!$S:$S,9)</f>
        <v>0</v>
      </c>
      <c r="R17" s="95">
        <f>COUNTIFS('別紙2-1出動実績報告表'!$O:$O,9,'別紙2-1出動実績報告表'!$P:$P,9,'別紙2-1出動実績報告表'!$Q:$Q,1,'別紙2-1出動実績報告表'!$R:$R,2,'別紙2-1出動実績報告表'!$S:$S,9)</f>
        <v>0</v>
      </c>
      <c r="S17" s="95">
        <f>COUNTIFS('別紙2-1出動実績報告表'!$O:$O,0,'別紙2-1出動実績報告表'!$P:$P,0,'別紙2-1出動実績報告表'!$Q:$Q,1,'別紙2-1出動実績報告表'!$R:$R,2,'別紙2-1出動実績報告表'!$S:$S,9)</f>
        <v>0</v>
      </c>
      <c r="T17" s="95">
        <f t="shared" si="0"/>
        <v>0</v>
      </c>
      <c r="U17" s="96"/>
    </row>
    <row r="18" spans="1:21" ht="15" customHeight="1" x14ac:dyDescent="0.15">
      <c r="A18" s="97"/>
      <c r="B18" s="79" t="s">
        <v>166</v>
      </c>
      <c r="C18" s="99" t="s">
        <v>167</v>
      </c>
      <c r="D18" s="98" t="s">
        <v>168</v>
      </c>
      <c r="E18" s="95">
        <f>COUNTIFS('別紙2-1出動実績報告表'!$O:$O,1,'別紙2-1出動実績報告表'!$P:$P,1,'別紙2-1出動実績報告表'!$Q:$Q,1,'別紙2-1出動実績報告表'!$R:$R,3,'別紙2-1出動実績報告表'!$S:$S,1)</f>
        <v>0</v>
      </c>
      <c r="F18" s="95">
        <f>COUNTIFS('別紙2-1出動実績報告表'!$O:$O,1,'別紙2-1出動実績報告表'!$P:$P,2,'別紙2-1出動実績報告表'!$Q:$Q,1,'別紙2-1出動実績報告表'!$R:$R,3,'別紙2-1出動実績報告表'!$S:$S,1)</f>
        <v>0</v>
      </c>
      <c r="G18" s="95">
        <f>COUNTIFS('別紙2-1出動実績報告表'!$O:$O,1,'別紙2-1出動実績報告表'!$P:$P,3,'別紙2-1出動実績報告表'!$Q:$Q,1,'別紙2-1出動実績報告表'!$R:$R,3,'別紙2-1出動実績報告表'!$S:$S,1)</f>
        <v>0</v>
      </c>
      <c r="H18" s="95">
        <f>COUNTIFS('別紙2-1出動実績報告表'!$O:$O,2,'別紙2-1出動実績報告表'!$P:$P,1,'別紙2-1出動実績報告表'!$Q:$Q,1,'別紙2-1出動実績報告表'!$R:$R,3,'別紙2-1出動実績報告表'!$S:$S,1)</f>
        <v>0</v>
      </c>
      <c r="I18" s="95">
        <f>COUNTIFS('別紙2-1出動実績報告表'!$O:$O,2,'別紙2-1出動実績報告表'!$P:$P,2,'別紙2-1出動実績報告表'!$Q:$Q,1,'別紙2-1出動実績報告表'!$R:$R,3,'別紙2-1出動実績報告表'!$S:$S,1)</f>
        <v>0</v>
      </c>
      <c r="J18" s="95">
        <f>COUNTIFS('別紙2-1出動実績報告表'!$O:$O,3,'別紙2-1出動実績報告表'!$P:$P,1,'別紙2-1出動実績報告表'!$Q:$Q,1,'別紙2-1出動実績報告表'!$R:$R,3,'別紙2-1出動実績報告表'!$S:$S,1)</f>
        <v>0</v>
      </c>
      <c r="K18" s="95">
        <f>COUNTIFS('別紙2-1出動実績報告表'!$O:$O,3,'別紙2-1出動実績報告表'!$P:$P,2,'別紙2-1出動実績報告表'!$Q:$Q,1,'別紙2-1出動実績報告表'!$R:$R,3,'別紙2-1出動実績報告表'!$S:$S,1)</f>
        <v>0</v>
      </c>
      <c r="L18" s="95">
        <f>COUNTIFS('別紙2-1出動実績報告表'!$O:$O,3,'別紙2-1出動実績報告表'!$P:$P,3,'別紙2-1出動実績報告表'!$Q:$Q,1,'別紙2-1出動実績報告表'!$R:$R,3,'別紙2-1出動実績報告表'!$S:$S,1)</f>
        <v>0</v>
      </c>
      <c r="M18" s="95">
        <f>COUNTIFS('別紙2-1出動実績報告表'!$O:$O,4,'別紙2-1出動実績報告表'!$P:$P,1,'別紙2-1出動実績報告表'!$Q:$Q,1,'別紙2-1出動実績報告表'!$R:$R,3,'別紙2-1出動実績報告表'!$S:$S,1)</f>
        <v>0</v>
      </c>
      <c r="N18" s="95">
        <f>COUNTIFS('別紙2-1出動実績報告表'!$O:$O,4,'別紙2-1出動実績報告表'!$P:$P,2,'別紙2-1出動実績報告表'!$Q:$Q,1,'別紙2-1出動実績報告表'!$R:$R,3,'別紙2-1出動実績報告表'!$S:$S,1)</f>
        <v>0</v>
      </c>
      <c r="O18" s="95">
        <f>COUNTIFS('別紙2-1出動実績報告表'!$O:$O,4,'別紙2-1出動実績報告表'!$P:$P,3,'別紙2-1出動実績報告表'!$Q:$Q,1,'別紙2-1出動実績報告表'!$R:$R,3,'別紙2-1出動実績報告表'!$S:$S,1)</f>
        <v>0</v>
      </c>
      <c r="P18" s="95">
        <f>COUNTIFS('別紙2-1出動実績報告表'!$O:$O,4,'別紙2-1出動実績報告表'!$P:$P,4,'別紙2-1出動実績報告表'!$Q:$Q,1,'別紙2-1出動実績報告表'!$R:$R,3,'別紙2-1出動実績報告表'!$S:$S,1)</f>
        <v>0</v>
      </c>
      <c r="Q18" s="95">
        <f>COUNTIFS('別紙2-1出動実績報告表'!$O:$O,5,'別紙2-1出動実績報告表'!$P:$P,1,'別紙2-1出動実績報告表'!$Q:$Q,1,'別紙2-1出動実績報告表'!$R:$R,3,'別紙2-1出動実績報告表'!$S:$S,1)</f>
        <v>0</v>
      </c>
      <c r="R18" s="95">
        <f>COUNTIFS('別紙2-1出動実績報告表'!$O:$O,9,'別紙2-1出動実績報告表'!$P:$P,9,'別紙2-1出動実績報告表'!$Q:$Q,1,'別紙2-1出動実績報告表'!$R:$R,3,'別紙2-1出動実績報告表'!$S:$S,1)</f>
        <v>0</v>
      </c>
      <c r="S18" s="95">
        <f>COUNTIFS('別紙2-1出動実績報告表'!$O:$O,0,'別紙2-1出動実績報告表'!$P:$P,0,'別紙2-1出動実績報告表'!$Q:$Q,1,'別紙2-1出動実績報告表'!$R:$R,3,'別紙2-1出動実績報告表'!$S:$S,1)</f>
        <v>0</v>
      </c>
      <c r="T18" s="95">
        <f t="shared" si="0"/>
        <v>0</v>
      </c>
      <c r="U18" s="96"/>
    </row>
    <row r="19" spans="1:21" ht="15" customHeight="1" x14ac:dyDescent="0.15">
      <c r="A19" s="97"/>
      <c r="B19" s="79"/>
      <c r="C19" s="93" t="s">
        <v>169</v>
      </c>
      <c r="D19" s="98" t="s">
        <v>170</v>
      </c>
      <c r="E19" s="95">
        <f>COUNTIFS('別紙2-1出動実績報告表'!$O:$O,1,'別紙2-1出動実績報告表'!$P:$P,1,'別紙2-1出動実績報告表'!$Q:$Q,1,'別紙2-1出動実績報告表'!$R:$R,3,'別紙2-1出動実績報告表'!$S:$S,2)</f>
        <v>0</v>
      </c>
      <c r="F19" s="95">
        <f>COUNTIFS('別紙2-1出動実績報告表'!$O:$O,1,'別紙2-1出動実績報告表'!$P:$P,2,'別紙2-1出動実績報告表'!$Q:$Q,1,'別紙2-1出動実績報告表'!$R:$R,3,'別紙2-1出動実績報告表'!$S:$S,2)</f>
        <v>0</v>
      </c>
      <c r="G19" s="95">
        <f>COUNTIFS('別紙2-1出動実績報告表'!$O:$O,1,'別紙2-1出動実績報告表'!$P:$P,3,'別紙2-1出動実績報告表'!$Q:$Q,1,'別紙2-1出動実績報告表'!$R:$R,3,'別紙2-1出動実績報告表'!$S:$S,2)</f>
        <v>0</v>
      </c>
      <c r="H19" s="95">
        <f>COUNTIFS('別紙2-1出動実績報告表'!$O:$O,2,'別紙2-1出動実績報告表'!$P:$P,1,'別紙2-1出動実績報告表'!$Q:$Q,1,'別紙2-1出動実績報告表'!$R:$R,3,'別紙2-1出動実績報告表'!$S:$S,2)</f>
        <v>0</v>
      </c>
      <c r="I19" s="95">
        <f>COUNTIFS('別紙2-1出動実績報告表'!$O:$O,2,'別紙2-1出動実績報告表'!$P:$P,2,'別紙2-1出動実績報告表'!$Q:$Q,1,'別紙2-1出動実績報告表'!$R:$R,3,'別紙2-1出動実績報告表'!$S:$S,2)</f>
        <v>0</v>
      </c>
      <c r="J19" s="95">
        <f>COUNTIFS('別紙2-1出動実績報告表'!$O:$O,3,'別紙2-1出動実績報告表'!$P:$P,1,'別紙2-1出動実績報告表'!$Q:$Q,1,'別紙2-1出動実績報告表'!$R:$R,3,'別紙2-1出動実績報告表'!$S:$S,2)</f>
        <v>0</v>
      </c>
      <c r="K19" s="95">
        <f>COUNTIFS('別紙2-1出動実績報告表'!$O:$O,3,'別紙2-1出動実績報告表'!$P:$P,2,'別紙2-1出動実績報告表'!$Q:$Q,1,'別紙2-1出動実績報告表'!$R:$R,3,'別紙2-1出動実績報告表'!$S:$S,2)</f>
        <v>0</v>
      </c>
      <c r="L19" s="95">
        <f>COUNTIFS('別紙2-1出動実績報告表'!$O:$O,3,'別紙2-1出動実績報告表'!$P:$P,3,'別紙2-1出動実績報告表'!$Q:$Q,1,'別紙2-1出動実績報告表'!$R:$R,3,'別紙2-1出動実績報告表'!$S:$S,2)</f>
        <v>0</v>
      </c>
      <c r="M19" s="95">
        <f>COUNTIFS('別紙2-1出動実績報告表'!$O:$O,4,'別紙2-1出動実績報告表'!$P:$P,1,'別紙2-1出動実績報告表'!$Q:$Q,1,'別紙2-1出動実績報告表'!$R:$R,3,'別紙2-1出動実績報告表'!$S:$S,2)</f>
        <v>0</v>
      </c>
      <c r="N19" s="95">
        <f>COUNTIFS('別紙2-1出動実績報告表'!$O:$O,4,'別紙2-1出動実績報告表'!$P:$P,2,'別紙2-1出動実績報告表'!$Q:$Q,1,'別紙2-1出動実績報告表'!$R:$R,3,'別紙2-1出動実績報告表'!$S:$S,2)</f>
        <v>0</v>
      </c>
      <c r="O19" s="95">
        <f>COUNTIFS('別紙2-1出動実績報告表'!$O:$O,4,'別紙2-1出動実績報告表'!$P:$P,3,'別紙2-1出動実績報告表'!$Q:$Q,1,'別紙2-1出動実績報告表'!$R:$R,3,'別紙2-1出動実績報告表'!$S:$S,2)</f>
        <v>0</v>
      </c>
      <c r="P19" s="95">
        <f>COUNTIFS('別紙2-1出動実績報告表'!$O:$O,4,'別紙2-1出動実績報告表'!$P:$P,4,'別紙2-1出動実績報告表'!$Q:$Q,1,'別紙2-1出動実績報告表'!$R:$R,3,'別紙2-1出動実績報告表'!$S:$S,2)</f>
        <v>0</v>
      </c>
      <c r="Q19" s="95">
        <f>COUNTIFS('別紙2-1出動実績報告表'!$O:$O,5,'別紙2-1出動実績報告表'!$P:$P,1,'別紙2-1出動実績報告表'!$Q:$Q,1,'別紙2-1出動実績報告表'!$R:$R,3,'別紙2-1出動実績報告表'!$S:$S,2)</f>
        <v>0</v>
      </c>
      <c r="R19" s="95">
        <f>COUNTIFS('別紙2-1出動実績報告表'!$O:$O,9,'別紙2-1出動実績報告表'!$P:$P,9,'別紙2-1出動実績報告表'!$Q:$Q,1,'別紙2-1出動実績報告表'!$R:$R,3,'別紙2-1出動実績報告表'!$S:$S,2)</f>
        <v>0</v>
      </c>
      <c r="S19" s="95">
        <f>COUNTIFS('別紙2-1出動実績報告表'!$O:$O,0,'別紙2-1出動実績報告表'!$P:$P,0,'別紙2-1出動実績報告表'!$Q:$Q,1,'別紙2-1出動実績報告表'!$R:$R,3,'別紙2-1出動実績報告表'!$S:$S,2)</f>
        <v>0</v>
      </c>
      <c r="T19" s="95">
        <f t="shared" si="0"/>
        <v>0</v>
      </c>
      <c r="U19" s="96"/>
    </row>
    <row r="20" spans="1:21" ht="15" customHeight="1" x14ac:dyDescent="0.15">
      <c r="A20" s="97"/>
      <c r="B20" s="79"/>
      <c r="C20" s="93" t="s">
        <v>171</v>
      </c>
      <c r="D20" s="98" t="s">
        <v>172</v>
      </c>
      <c r="E20" s="95">
        <f>COUNTIFS('別紙2-1出動実績報告表'!$O:$O,1,'別紙2-1出動実績報告表'!$P:$P,1,'別紙2-1出動実績報告表'!$Q:$Q,1,'別紙2-1出動実績報告表'!$R:$R,3,'別紙2-1出動実績報告表'!$S:$S,3)</f>
        <v>0</v>
      </c>
      <c r="F20" s="95">
        <f>COUNTIFS('別紙2-1出動実績報告表'!$O:$O,1,'別紙2-1出動実績報告表'!$P:$P,2,'別紙2-1出動実績報告表'!$Q:$Q,1,'別紙2-1出動実績報告表'!$R:$R,3,'別紙2-1出動実績報告表'!$S:$S,3)</f>
        <v>0</v>
      </c>
      <c r="G20" s="95">
        <f>COUNTIFS('別紙2-1出動実績報告表'!$O:$O,1,'別紙2-1出動実績報告表'!$P:$P,3,'別紙2-1出動実績報告表'!$Q:$Q,1,'別紙2-1出動実績報告表'!$R:$R,3,'別紙2-1出動実績報告表'!$S:$S,3)</f>
        <v>0</v>
      </c>
      <c r="H20" s="95">
        <f>COUNTIFS('別紙2-1出動実績報告表'!$O:$O,2,'別紙2-1出動実績報告表'!$P:$P,1,'別紙2-1出動実績報告表'!$Q:$Q,1,'別紙2-1出動実績報告表'!$R:$R,3,'別紙2-1出動実績報告表'!$S:$S,3)</f>
        <v>0</v>
      </c>
      <c r="I20" s="95">
        <f>COUNTIFS('別紙2-1出動実績報告表'!$O:$O,2,'別紙2-1出動実績報告表'!$P:$P,2,'別紙2-1出動実績報告表'!$Q:$Q,1,'別紙2-1出動実績報告表'!$R:$R,3,'別紙2-1出動実績報告表'!$S:$S,3)</f>
        <v>0</v>
      </c>
      <c r="J20" s="95">
        <f>COUNTIFS('別紙2-1出動実績報告表'!$O:$O,3,'別紙2-1出動実績報告表'!$P:$P,1,'別紙2-1出動実績報告表'!$Q:$Q,1,'別紙2-1出動実績報告表'!$R:$R,3,'別紙2-1出動実績報告表'!$S:$S,3)</f>
        <v>0</v>
      </c>
      <c r="K20" s="95">
        <f>COUNTIFS('別紙2-1出動実績報告表'!$O:$O,3,'別紙2-1出動実績報告表'!$P:$P,2,'別紙2-1出動実績報告表'!$Q:$Q,1,'別紙2-1出動実績報告表'!$R:$R,3,'別紙2-1出動実績報告表'!$S:$S,3)</f>
        <v>0</v>
      </c>
      <c r="L20" s="95">
        <f>COUNTIFS('別紙2-1出動実績報告表'!$O:$O,3,'別紙2-1出動実績報告表'!$P:$P,3,'別紙2-1出動実績報告表'!$Q:$Q,1,'別紙2-1出動実績報告表'!$R:$R,3,'別紙2-1出動実績報告表'!$S:$S,3)</f>
        <v>0</v>
      </c>
      <c r="M20" s="95">
        <f>COUNTIFS('別紙2-1出動実績報告表'!$O:$O,4,'別紙2-1出動実績報告表'!$P:$P,1,'別紙2-1出動実績報告表'!$Q:$Q,1,'別紙2-1出動実績報告表'!$R:$R,3,'別紙2-1出動実績報告表'!$S:$S,3)</f>
        <v>0</v>
      </c>
      <c r="N20" s="95">
        <f>COUNTIFS('別紙2-1出動実績報告表'!$O:$O,4,'別紙2-1出動実績報告表'!$P:$P,2,'別紙2-1出動実績報告表'!$Q:$Q,1,'別紙2-1出動実績報告表'!$R:$R,3,'別紙2-1出動実績報告表'!$S:$S,3)</f>
        <v>0</v>
      </c>
      <c r="O20" s="95">
        <f>COUNTIFS('別紙2-1出動実績報告表'!$O:$O,4,'別紙2-1出動実績報告表'!$P:$P,3,'別紙2-1出動実績報告表'!$Q:$Q,1,'別紙2-1出動実績報告表'!$R:$R,3,'別紙2-1出動実績報告表'!$S:$S,3)</f>
        <v>0</v>
      </c>
      <c r="P20" s="95">
        <f>COUNTIFS('別紙2-1出動実績報告表'!$O:$O,4,'別紙2-1出動実績報告表'!$P:$P,4,'別紙2-1出動実績報告表'!$Q:$Q,1,'別紙2-1出動実績報告表'!$R:$R,3,'別紙2-1出動実績報告表'!$S:$S,3)</f>
        <v>0</v>
      </c>
      <c r="Q20" s="95">
        <f>COUNTIFS('別紙2-1出動実績報告表'!$O:$O,5,'別紙2-1出動実績報告表'!$P:$P,1,'別紙2-1出動実績報告表'!$Q:$Q,1,'別紙2-1出動実績報告表'!$R:$R,3,'別紙2-1出動実績報告表'!$S:$S,3)</f>
        <v>0</v>
      </c>
      <c r="R20" s="95">
        <f>COUNTIFS('別紙2-1出動実績報告表'!$O:$O,9,'別紙2-1出動実績報告表'!$P:$P,9,'別紙2-1出動実績報告表'!$Q:$Q,1,'別紙2-1出動実績報告表'!$R:$R,3,'別紙2-1出動実績報告表'!$S:$S,3)</f>
        <v>0</v>
      </c>
      <c r="S20" s="95">
        <f>COUNTIFS('別紙2-1出動実績報告表'!$O:$O,0,'別紙2-1出動実績報告表'!$P:$P,0,'別紙2-1出動実績報告表'!$Q:$Q,1,'別紙2-1出動実績報告表'!$R:$R,3,'別紙2-1出動実績報告表'!$S:$S,3)</f>
        <v>0</v>
      </c>
      <c r="T20" s="95">
        <f t="shared" si="0"/>
        <v>0</v>
      </c>
      <c r="U20" s="96"/>
    </row>
    <row r="21" spans="1:21" ht="15" customHeight="1" x14ac:dyDescent="0.15">
      <c r="A21" s="97"/>
      <c r="B21" s="79"/>
      <c r="C21" s="93" t="s">
        <v>173</v>
      </c>
      <c r="D21" s="98" t="s">
        <v>174</v>
      </c>
      <c r="E21" s="95">
        <f>COUNTIFS('別紙2-1出動実績報告表'!$O:$O,1,'別紙2-1出動実績報告表'!$P:$P,1,'別紙2-1出動実績報告表'!$Q:$Q,1,'別紙2-1出動実績報告表'!$R:$R,3,'別紙2-1出動実績報告表'!$S:$S,4)</f>
        <v>0</v>
      </c>
      <c r="F21" s="95">
        <f>COUNTIFS('別紙2-1出動実績報告表'!$O:$O,1,'別紙2-1出動実績報告表'!$P:$P,2,'別紙2-1出動実績報告表'!$Q:$Q,1,'別紙2-1出動実績報告表'!$R:$R,3,'別紙2-1出動実績報告表'!$S:$S,4)</f>
        <v>0</v>
      </c>
      <c r="G21" s="95">
        <f>COUNTIFS('別紙2-1出動実績報告表'!$O:$O,1,'別紙2-1出動実績報告表'!$P:$P,3,'別紙2-1出動実績報告表'!$Q:$Q,1,'別紙2-1出動実績報告表'!$R:$R,3,'別紙2-1出動実績報告表'!$S:$S,4)</f>
        <v>0</v>
      </c>
      <c r="H21" s="95">
        <f>COUNTIFS('別紙2-1出動実績報告表'!$O:$O,2,'別紙2-1出動実績報告表'!$P:$P,1,'別紙2-1出動実績報告表'!$Q:$Q,1,'別紙2-1出動実績報告表'!$R:$R,3,'別紙2-1出動実績報告表'!$S:$S,4)</f>
        <v>0</v>
      </c>
      <c r="I21" s="95">
        <f>COUNTIFS('別紙2-1出動実績報告表'!$O:$O,2,'別紙2-1出動実績報告表'!$P:$P,2,'別紙2-1出動実績報告表'!$Q:$Q,1,'別紙2-1出動実績報告表'!$R:$R,3,'別紙2-1出動実績報告表'!$S:$S,4)</f>
        <v>0</v>
      </c>
      <c r="J21" s="95">
        <f>COUNTIFS('別紙2-1出動実績報告表'!$O:$O,3,'別紙2-1出動実績報告表'!$P:$P,1,'別紙2-1出動実績報告表'!$Q:$Q,1,'別紙2-1出動実績報告表'!$R:$R,3,'別紙2-1出動実績報告表'!$S:$S,4)</f>
        <v>0</v>
      </c>
      <c r="K21" s="95">
        <f>COUNTIFS('別紙2-1出動実績報告表'!$O:$O,3,'別紙2-1出動実績報告表'!$P:$P,2,'別紙2-1出動実績報告表'!$Q:$Q,1,'別紙2-1出動実績報告表'!$R:$R,3,'別紙2-1出動実績報告表'!$S:$S,4)</f>
        <v>0</v>
      </c>
      <c r="L21" s="95">
        <f>COUNTIFS('別紙2-1出動実績報告表'!$O:$O,3,'別紙2-1出動実績報告表'!$P:$P,3,'別紙2-1出動実績報告表'!$Q:$Q,1,'別紙2-1出動実績報告表'!$R:$R,3,'別紙2-1出動実績報告表'!$S:$S,4)</f>
        <v>0</v>
      </c>
      <c r="M21" s="95">
        <f>COUNTIFS('別紙2-1出動実績報告表'!$O:$O,4,'別紙2-1出動実績報告表'!$P:$P,1,'別紙2-1出動実績報告表'!$Q:$Q,1,'別紙2-1出動実績報告表'!$R:$R,3,'別紙2-1出動実績報告表'!$S:$S,4)</f>
        <v>0</v>
      </c>
      <c r="N21" s="95">
        <f>COUNTIFS('別紙2-1出動実績報告表'!$O:$O,4,'別紙2-1出動実績報告表'!$P:$P,2,'別紙2-1出動実績報告表'!$Q:$Q,1,'別紙2-1出動実績報告表'!$R:$R,3,'別紙2-1出動実績報告表'!$S:$S,4)</f>
        <v>0</v>
      </c>
      <c r="O21" s="95">
        <f>COUNTIFS('別紙2-1出動実績報告表'!$O:$O,4,'別紙2-1出動実績報告表'!$P:$P,3,'別紙2-1出動実績報告表'!$Q:$Q,1,'別紙2-1出動実績報告表'!$R:$R,3,'別紙2-1出動実績報告表'!$S:$S,4)</f>
        <v>0</v>
      </c>
      <c r="P21" s="95">
        <f>COUNTIFS('別紙2-1出動実績報告表'!$O:$O,4,'別紙2-1出動実績報告表'!$P:$P,4,'別紙2-1出動実績報告表'!$Q:$Q,1,'別紙2-1出動実績報告表'!$R:$R,3,'別紙2-1出動実績報告表'!$S:$S,4)</f>
        <v>0</v>
      </c>
      <c r="Q21" s="95">
        <f>COUNTIFS('別紙2-1出動実績報告表'!$O:$O,5,'別紙2-1出動実績報告表'!$P:$P,1,'別紙2-1出動実績報告表'!$Q:$Q,1,'別紙2-1出動実績報告表'!$R:$R,3,'別紙2-1出動実績報告表'!$S:$S,4)</f>
        <v>0</v>
      </c>
      <c r="R21" s="95">
        <f>COUNTIFS('別紙2-1出動実績報告表'!$O:$O,9,'別紙2-1出動実績報告表'!$P:$P,9,'別紙2-1出動実績報告表'!$Q:$Q,1,'別紙2-1出動実績報告表'!$R:$R,3,'別紙2-1出動実績報告表'!$S:$S,4)</f>
        <v>0</v>
      </c>
      <c r="S21" s="95">
        <f>COUNTIFS('別紙2-1出動実績報告表'!$O:$O,0,'別紙2-1出動実績報告表'!$P:$P,0,'別紙2-1出動実績報告表'!$Q:$Q,1,'別紙2-1出動実績報告表'!$R:$R,3,'別紙2-1出動実績報告表'!$S:$S,4)</f>
        <v>0</v>
      </c>
      <c r="T21" s="95">
        <f t="shared" si="0"/>
        <v>0</v>
      </c>
      <c r="U21" s="96"/>
    </row>
    <row r="22" spans="1:21" ht="15" customHeight="1" x14ac:dyDescent="0.15">
      <c r="A22" s="97"/>
      <c r="B22" s="79" t="s">
        <v>175</v>
      </c>
      <c r="C22" s="94"/>
      <c r="D22" s="98" t="s">
        <v>162</v>
      </c>
      <c r="E22" s="95">
        <f>COUNTIFS('別紙2-1出動実績報告表'!$O:$O,1,'別紙2-1出動実績報告表'!$P:$P,1,'別紙2-1出動実績報告表'!$Q:$Q,1,'別紙2-1出動実績報告表'!$R:$R,3,'別紙2-1出動実績報告表'!$S:$S,9)</f>
        <v>0</v>
      </c>
      <c r="F22" s="95">
        <f>COUNTIFS('別紙2-1出動実績報告表'!$O:$O,1,'別紙2-1出動実績報告表'!$P:$P,2,'別紙2-1出動実績報告表'!$Q:$Q,1,'別紙2-1出動実績報告表'!$R:$R,3,'別紙2-1出動実績報告表'!$S:$S,9)</f>
        <v>0</v>
      </c>
      <c r="G22" s="95">
        <f>COUNTIFS('別紙2-1出動実績報告表'!$O:$O,1,'別紙2-1出動実績報告表'!$P:$P,3,'別紙2-1出動実績報告表'!$Q:$Q,1,'別紙2-1出動実績報告表'!$R:$R,3,'別紙2-1出動実績報告表'!$S:$S,9)</f>
        <v>0</v>
      </c>
      <c r="H22" s="95">
        <f>COUNTIFS('別紙2-1出動実績報告表'!$O:$O,2,'別紙2-1出動実績報告表'!$P:$P,1,'別紙2-1出動実績報告表'!$Q:$Q,1,'別紙2-1出動実績報告表'!$R:$R,3,'別紙2-1出動実績報告表'!$S:$S,9)</f>
        <v>0</v>
      </c>
      <c r="I22" s="95">
        <f>COUNTIFS('別紙2-1出動実績報告表'!$O:$O,2,'別紙2-1出動実績報告表'!$P:$P,2,'別紙2-1出動実績報告表'!$Q:$Q,1,'別紙2-1出動実績報告表'!$R:$R,3,'別紙2-1出動実績報告表'!$S:$S,9)</f>
        <v>0</v>
      </c>
      <c r="J22" s="95">
        <f>COUNTIFS('別紙2-1出動実績報告表'!$O:$O,3,'別紙2-1出動実績報告表'!$P:$P,1,'別紙2-1出動実績報告表'!$Q:$Q,1,'別紙2-1出動実績報告表'!$R:$R,3,'別紙2-1出動実績報告表'!$S:$S,9)</f>
        <v>0</v>
      </c>
      <c r="K22" s="95">
        <f>COUNTIFS('別紙2-1出動実績報告表'!$O:$O,3,'別紙2-1出動実績報告表'!$P:$P,2,'別紙2-1出動実績報告表'!$Q:$Q,1,'別紙2-1出動実績報告表'!$R:$R,3,'別紙2-1出動実績報告表'!$S:$S,9)</f>
        <v>0</v>
      </c>
      <c r="L22" s="95">
        <f>COUNTIFS('別紙2-1出動実績報告表'!$O:$O,3,'別紙2-1出動実績報告表'!$P:$P,3,'別紙2-1出動実績報告表'!$Q:$Q,1,'別紙2-1出動実績報告表'!$R:$R,3,'別紙2-1出動実績報告表'!$S:$S,9)</f>
        <v>0</v>
      </c>
      <c r="M22" s="95">
        <f>COUNTIFS('別紙2-1出動実績報告表'!$O:$O,4,'別紙2-1出動実績報告表'!$P:$P,1,'別紙2-1出動実績報告表'!$Q:$Q,1,'別紙2-1出動実績報告表'!$R:$R,3,'別紙2-1出動実績報告表'!$S:$S,9)</f>
        <v>0</v>
      </c>
      <c r="N22" s="95">
        <f>COUNTIFS('別紙2-1出動実績報告表'!$O:$O,4,'別紙2-1出動実績報告表'!$P:$P,2,'別紙2-1出動実績報告表'!$Q:$Q,1,'別紙2-1出動実績報告表'!$R:$R,3,'別紙2-1出動実績報告表'!$S:$S,9)</f>
        <v>0</v>
      </c>
      <c r="O22" s="95">
        <f>COUNTIFS('別紙2-1出動実績報告表'!$O:$O,4,'別紙2-1出動実績報告表'!$P:$P,3,'別紙2-1出動実績報告表'!$Q:$Q,1,'別紙2-1出動実績報告表'!$R:$R,3,'別紙2-1出動実績報告表'!$S:$S,9)</f>
        <v>0</v>
      </c>
      <c r="P22" s="95">
        <f>COUNTIFS('別紙2-1出動実績報告表'!$O:$O,4,'別紙2-1出動実績報告表'!$P:$P,4,'別紙2-1出動実績報告表'!$Q:$Q,1,'別紙2-1出動実績報告表'!$R:$R,3,'別紙2-1出動実績報告表'!$S:$S,9)</f>
        <v>0</v>
      </c>
      <c r="Q22" s="95">
        <f>COUNTIFS('別紙2-1出動実績報告表'!$O:$O,5,'別紙2-1出動実績報告表'!$P:$P,1,'別紙2-1出動実績報告表'!$Q:$Q,1,'別紙2-1出動実績報告表'!$R:$R,3,'別紙2-1出動実績報告表'!$S:$S,9)</f>
        <v>0</v>
      </c>
      <c r="R22" s="95">
        <f>COUNTIFS('別紙2-1出動実績報告表'!$O:$O,9,'別紙2-1出動実績報告表'!$P:$P,9,'別紙2-1出動実績報告表'!$Q:$Q,1,'別紙2-1出動実績報告表'!$R:$R,3,'別紙2-1出動実績報告表'!$S:$S,9)</f>
        <v>0</v>
      </c>
      <c r="S22" s="95">
        <f>COUNTIFS('別紙2-1出動実績報告表'!$O:$O,0,'別紙2-1出動実績報告表'!$P:$P,0,'別紙2-1出動実績報告表'!$Q:$Q,1,'別紙2-1出動実績報告表'!$R:$R,3,'別紙2-1出動実績報告表'!$S:$S,9)</f>
        <v>0</v>
      </c>
      <c r="T22" s="95">
        <f t="shared" si="0"/>
        <v>0</v>
      </c>
      <c r="U22" s="96"/>
    </row>
    <row r="23" spans="1:21" ht="15" customHeight="1" x14ac:dyDescent="0.15">
      <c r="A23" s="97"/>
      <c r="B23" s="79"/>
      <c r="C23" s="99" t="s">
        <v>159</v>
      </c>
      <c r="D23" s="98" t="s">
        <v>176</v>
      </c>
      <c r="E23" s="95">
        <f>COUNTIFS('別紙2-1出動実績報告表'!$O:$O,1,'別紙2-1出動実績報告表'!$P:$P,1,'別紙2-1出動実績報告表'!$Q:$Q,1,'別紙2-1出動実績報告表'!$R:$R,4,'別紙2-1出動実績報告表'!$S:$S,1)</f>
        <v>0</v>
      </c>
      <c r="F23" s="95">
        <f>COUNTIFS('別紙2-1出動実績報告表'!$O:$O,1,'別紙2-1出動実績報告表'!$P:$P,2,'別紙2-1出動実績報告表'!$Q:$Q,1,'別紙2-1出動実績報告表'!$R:$R,4,'別紙2-1出動実績報告表'!$S:$S,1)</f>
        <v>0</v>
      </c>
      <c r="G23" s="95">
        <f>COUNTIFS('別紙2-1出動実績報告表'!$O:$O,1,'別紙2-1出動実績報告表'!$P:$P,3,'別紙2-1出動実績報告表'!$Q:$Q,1,'別紙2-1出動実績報告表'!$R:$R,4,'別紙2-1出動実績報告表'!$S:$S,1)</f>
        <v>0</v>
      </c>
      <c r="H23" s="95">
        <f>COUNTIFS('別紙2-1出動実績報告表'!$O:$O,2,'別紙2-1出動実績報告表'!$P:$P,1,'別紙2-1出動実績報告表'!$Q:$Q,1,'別紙2-1出動実績報告表'!$R:$R,4,'別紙2-1出動実績報告表'!$S:$S,1)</f>
        <v>0</v>
      </c>
      <c r="I23" s="95">
        <f>COUNTIFS('別紙2-1出動実績報告表'!$O:$O,2,'別紙2-1出動実績報告表'!$P:$P,2,'別紙2-1出動実績報告表'!$Q:$Q,1,'別紙2-1出動実績報告表'!$R:$R,4,'別紙2-1出動実績報告表'!$S:$S,1)</f>
        <v>0</v>
      </c>
      <c r="J23" s="95">
        <f>COUNTIFS('別紙2-1出動実績報告表'!$O:$O,3,'別紙2-1出動実績報告表'!$P:$P,1,'別紙2-1出動実績報告表'!$Q:$Q,1,'別紙2-1出動実績報告表'!$R:$R,4,'別紙2-1出動実績報告表'!$S:$S,1)</f>
        <v>0</v>
      </c>
      <c r="K23" s="95">
        <f>COUNTIFS('別紙2-1出動実績報告表'!$O:$O,3,'別紙2-1出動実績報告表'!$P:$P,2,'別紙2-1出動実績報告表'!$Q:$Q,1,'別紙2-1出動実績報告表'!$R:$R,4,'別紙2-1出動実績報告表'!$S:$S,1)</f>
        <v>0</v>
      </c>
      <c r="L23" s="95">
        <f>COUNTIFS('別紙2-1出動実績報告表'!$O:$O,3,'別紙2-1出動実績報告表'!$P:$P,3,'別紙2-1出動実績報告表'!$Q:$Q,1,'別紙2-1出動実績報告表'!$R:$R,4,'別紙2-1出動実績報告表'!$S:$S,1)</f>
        <v>0</v>
      </c>
      <c r="M23" s="95">
        <f>COUNTIFS('別紙2-1出動実績報告表'!$O:$O,4,'別紙2-1出動実績報告表'!$P:$P,1,'別紙2-1出動実績報告表'!$Q:$Q,1,'別紙2-1出動実績報告表'!$R:$R,4,'別紙2-1出動実績報告表'!$S:$S,1)</f>
        <v>0</v>
      </c>
      <c r="N23" s="95">
        <f>COUNTIFS('別紙2-1出動実績報告表'!$O:$O,4,'別紙2-1出動実績報告表'!$P:$P,2,'別紙2-1出動実績報告表'!$Q:$Q,1,'別紙2-1出動実績報告表'!$R:$R,4,'別紙2-1出動実績報告表'!$S:$S,1)</f>
        <v>0</v>
      </c>
      <c r="O23" s="95">
        <f>COUNTIFS('別紙2-1出動実績報告表'!$O:$O,4,'別紙2-1出動実績報告表'!$P:$P,3,'別紙2-1出動実績報告表'!$Q:$Q,1,'別紙2-1出動実績報告表'!$R:$R,4,'別紙2-1出動実績報告表'!$S:$S,1)</f>
        <v>0</v>
      </c>
      <c r="P23" s="95">
        <f>COUNTIFS('別紙2-1出動実績報告表'!$O:$O,4,'別紙2-1出動実績報告表'!$P:$P,4,'別紙2-1出動実績報告表'!$Q:$Q,1,'別紙2-1出動実績報告表'!$R:$R,4,'別紙2-1出動実績報告表'!$S:$S,1)</f>
        <v>0</v>
      </c>
      <c r="Q23" s="95">
        <f>COUNTIFS('別紙2-1出動実績報告表'!$O:$O,5,'別紙2-1出動実績報告表'!$P:$P,1,'別紙2-1出動実績報告表'!$Q:$Q,1,'別紙2-1出動実績報告表'!$R:$R,4,'別紙2-1出動実績報告表'!$S:$S,1)</f>
        <v>0</v>
      </c>
      <c r="R23" s="95">
        <f>COUNTIFS('別紙2-1出動実績報告表'!$O:$O,9,'別紙2-1出動実績報告表'!$P:$P,9,'別紙2-1出動実績報告表'!$Q:$Q,1,'別紙2-1出動実績報告表'!$R:$R,4,'別紙2-1出動実績報告表'!$S:$S,1)</f>
        <v>0</v>
      </c>
      <c r="S23" s="95">
        <f>COUNTIFS('別紙2-1出動実績報告表'!$O:$O,0,'別紙2-1出動実績報告表'!$P:$P,0,'別紙2-1出動実績報告表'!$Q:$Q,1,'別紙2-1出動実績報告表'!$R:$R,4,'別紙2-1出動実績報告表'!$S:$S,1)</f>
        <v>0</v>
      </c>
      <c r="T23" s="95">
        <f t="shared" si="0"/>
        <v>0</v>
      </c>
      <c r="U23" s="96"/>
    </row>
    <row r="24" spans="1:21" ht="15" customHeight="1" x14ac:dyDescent="0.15">
      <c r="A24" s="97"/>
      <c r="B24" s="79"/>
      <c r="C24" s="93" t="s">
        <v>166</v>
      </c>
      <c r="D24" s="98" t="s">
        <v>177</v>
      </c>
      <c r="E24" s="95">
        <f>COUNTIFS('別紙2-1出動実績報告表'!$O:$O,1,'別紙2-1出動実績報告表'!$P:$P,1,'別紙2-1出動実績報告表'!$Q:$Q,1,'別紙2-1出動実績報告表'!$R:$R,4,'別紙2-1出動実績報告表'!$S:$S,2)</f>
        <v>0</v>
      </c>
      <c r="F24" s="95">
        <f>COUNTIFS('別紙2-1出動実績報告表'!$O:$O,1,'別紙2-1出動実績報告表'!$P:$P,2,'別紙2-1出動実績報告表'!$Q:$Q,1,'別紙2-1出動実績報告表'!$R:$R,4,'別紙2-1出動実績報告表'!$S:$S,2)</f>
        <v>0</v>
      </c>
      <c r="G24" s="95">
        <f>COUNTIFS('別紙2-1出動実績報告表'!$O:$O,1,'別紙2-1出動実績報告表'!$P:$P,3,'別紙2-1出動実績報告表'!$Q:$Q,1,'別紙2-1出動実績報告表'!$R:$R,4,'別紙2-1出動実績報告表'!$S:$S,2)</f>
        <v>0</v>
      </c>
      <c r="H24" s="95">
        <f>COUNTIFS('別紙2-1出動実績報告表'!$O:$O,2,'別紙2-1出動実績報告表'!$P:$P,1,'別紙2-1出動実績報告表'!$Q:$Q,1,'別紙2-1出動実績報告表'!$R:$R,4,'別紙2-1出動実績報告表'!$S:$S,2)</f>
        <v>0</v>
      </c>
      <c r="I24" s="95">
        <f>COUNTIFS('別紙2-1出動実績報告表'!$O:$O,2,'別紙2-1出動実績報告表'!$P:$P,2,'別紙2-1出動実績報告表'!$Q:$Q,1,'別紙2-1出動実績報告表'!$R:$R,4,'別紙2-1出動実績報告表'!$S:$S,2)</f>
        <v>0</v>
      </c>
      <c r="J24" s="95">
        <f>COUNTIFS('別紙2-1出動実績報告表'!$O:$O,3,'別紙2-1出動実績報告表'!$P:$P,1,'別紙2-1出動実績報告表'!$Q:$Q,1,'別紙2-1出動実績報告表'!$R:$R,4,'別紙2-1出動実績報告表'!$S:$S,2)</f>
        <v>0</v>
      </c>
      <c r="K24" s="95">
        <f>COUNTIFS('別紙2-1出動実績報告表'!$O:$O,3,'別紙2-1出動実績報告表'!$P:$P,2,'別紙2-1出動実績報告表'!$Q:$Q,1,'別紙2-1出動実績報告表'!$R:$R,4,'別紙2-1出動実績報告表'!$S:$S,2)</f>
        <v>0</v>
      </c>
      <c r="L24" s="95">
        <f>COUNTIFS('別紙2-1出動実績報告表'!$O:$O,3,'別紙2-1出動実績報告表'!$P:$P,3,'別紙2-1出動実績報告表'!$Q:$Q,1,'別紙2-1出動実績報告表'!$R:$R,4,'別紙2-1出動実績報告表'!$S:$S,2)</f>
        <v>0</v>
      </c>
      <c r="M24" s="95">
        <f>COUNTIFS('別紙2-1出動実績報告表'!$O:$O,4,'別紙2-1出動実績報告表'!$P:$P,1,'別紙2-1出動実績報告表'!$Q:$Q,1,'別紙2-1出動実績報告表'!$R:$R,4,'別紙2-1出動実績報告表'!$S:$S,2)</f>
        <v>0</v>
      </c>
      <c r="N24" s="95">
        <f>COUNTIFS('別紙2-1出動実績報告表'!$O:$O,4,'別紙2-1出動実績報告表'!$P:$P,2,'別紙2-1出動実績報告表'!$Q:$Q,1,'別紙2-1出動実績報告表'!$R:$R,4,'別紙2-1出動実績報告表'!$S:$S,2)</f>
        <v>0</v>
      </c>
      <c r="O24" s="95">
        <f>COUNTIFS('別紙2-1出動実績報告表'!$O:$O,4,'別紙2-1出動実績報告表'!$P:$P,3,'別紙2-1出動実績報告表'!$Q:$Q,1,'別紙2-1出動実績報告表'!$R:$R,4,'別紙2-1出動実績報告表'!$S:$S,2)</f>
        <v>0</v>
      </c>
      <c r="P24" s="95">
        <f>COUNTIFS('別紙2-1出動実績報告表'!$O:$O,4,'別紙2-1出動実績報告表'!$P:$P,4,'別紙2-1出動実績報告表'!$Q:$Q,1,'別紙2-1出動実績報告表'!$R:$R,4,'別紙2-1出動実績報告表'!$S:$S,2)</f>
        <v>0</v>
      </c>
      <c r="Q24" s="95">
        <f>COUNTIFS('別紙2-1出動実績報告表'!$O:$O,5,'別紙2-1出動実績報告表'!$P:$P,1,'別紙2-1出動実績報告表'!$Q:$Q,1,'別紙2-1出動実績報告表'!$R:$R,4,'別紙2-1出動実績報告表'!$S:$S,2)</f>
        <v>0</v>
      </c>
      <c r="R24" s="95">
        <f>COUNTIFS('別紙2-1出動実績報告表'!$O:$O,9,'別紙2-1出動実績報告表'!$P:$P,9,'別紙2-1出動実績報告表'!$Q:$Q,1,'別紙2-1出動実績報告表'!$R:$R,4,'別紙2-1出動実績報告表'!$S:$S,2)</f>
        <v>0</v>
      </c>
      <c r="S24" s="95">
        <f>COUNTIFS('別紙2-1出動実績報告表'!$O:$O,0,'別紙2-1出動実績報告表'!$P:$P,0,'別紙2-1出動実績報告表'!$Q:$Q,1,'別紙2-1出動実績報告表'!$R:$R,4,'別紙2-1出動実績報告表'!$S:$S,2)</f>
        <v>0</v>
      </c>
      <c r="T24" s="95">
        <f t="shared" si="0"/>
        <v>0</v>
      </c>
      <c r="U24" s="96"/>
    </row>
    <row r="25" spans="1:21" ht="15" customHeight="1" x14ac:dyDescent="0.15">
      <c r="A25" s="97"/>
      <c r="B25" s="79"/>
      <c r="C25" s="93" t="s">
        <v>178</v>
      </c>
      <c r="D25" s="98" t="s">
        <v>179</v>
      </c>
      <c r="E25" s="95">
        <f>COUNTIFS('別紙2-1出動実績報告表'!$O:$O,1,'別紙2-1出動実績報告表'!$P:$P,1,'別紙2-1出動実績報告表'!$Q:$Q,1,'別紙2-1出動実績報告表'!$R:$R,4,'別紙2-1出動実績報告表'!$S:$S,3)</f>
        <v>0</v>
      </c>
      <c r="F25" s="95">
        <f>COUNTIFS('別紙2-1出動実績報告表'!$O:$O,1,'別紙2-1出動実績報告表'!$P:$P,2,'別紙2-1出動実績報告表'!$Q:$Q,1,'別紙2-1出動実績報告表'!$R:$R,4,'別紙2-1出動実績報告表'!$S:$S,3)</f>
        <v>0</v>
      </c>
      <c r="G25" s="95">
        <f>COUNTIFS('別紙2-1出動実績報告表'!$O:$O,1,'別紙2-1出動実績報告表'!$P:$P,3,'別紙2-1出動実績報告表'!$Q:$Q,1,'別紙2-1出動実績報告表'!$R:$R,4,'別紙2-1出動実績報告表'!$S:$S,3)</f>
        <v>0</v>
      </c>
      <c r="H25" s="95">
        <f>COUNTIFS('別紙2-1出動実績報告表'!$O:$O,2,'別紙2-1出動実績報告表'!$P:$P,1,'別紙2-1出動実績報告表'!$Q:$Q,1,'別紙2-1出動実績報告表'!$R:$R,4,'別紙2-1出動実績報告表'!$S:$S,3)</f>
        <v>0</v>
      </c>
      <c r="I25" s="95">
        <f>COUNTIFS('別紙2-1出動実績報告表'!$O:$O,2,'別紙2-1出動実績報告表'!$P:$P,2,'別紙2-1出動実績報告表'!$Q:$Q,1,'別紙2-1出動実績報告表'!$R:$R,4,'別紙2-1出動実績報告表'!$S:$S,3)</f>
        <v>0</v>
      </c>
      <c r="J25" s="95">
        <f>COUNTIFS('別紙2-1出動実績報告表'!$O:$O,3,'別紙2-1出動実績報告表'!$P:$P,1,'別紙2-1出動実績報告表'!$Q:$Q,1,'別紙2-1出動実績報告表'!$R:$R,4,'別紙2-1出動実績報告表'!$S:$S,3)</f>
        <v>0</v>
      </c>
      <c r="K25" s="95">
        <f>COUNTIFS('別紙2-1出動実績報告表'!$O:$O,3,'別紙2-1出動実績報告表'!$P:$P,2,'別紙2-1出動実績報告表'!$Q:$Q,1,'別紙2-1出動実績報告表'!$R:$R,4,'別紙2-1出動実績報告表'!$S:$S,3)</f>
        <v>0</v>
      </c>
      <c r="L25" s="95">
        <f>COUNTIFS('別紙2-1出動実績報告表'!$O:$O,3,'別紙2-1出動実績報告表'!$P:$P,3,'別紙2-1出動実績報告表'!$Q:$Q,1,'別紙2-1出動実績報告表'!$R:$R,4,'別紙2-1出動実績報告表'!$S:$S,3)</f>
        <v>0</v>
      </c>
      <c r="M25" s="95">
        <f>COUNTIFS('別紙2-1出動実績報告表'!$O:$O,4,'別紙2-1出動実績報告表'!$P:$P,1,'別紙2-1出動実績報告表'!$Q:$Q,1,'別紙2-1出動実績報告表'!$R:$R,4,'別紙2-1出動実績報告表'!$S:$S,3)</f>
        <v>0</v>
      </c>
      <c r="N25" s="95">
        <f>COUNTIFS('別紙2-1出動実績報告表'!$O:$O,4,'別紙2-1出動実績報告表'!$P:$P,2,'別紙2-1出動実績報告表'!$Q:$Q,1,'別紙2-1出動実績報告表'!$R:$R,4,'別紙2-1出動実績報告表'!$S:$S,3)</f>
        <v>0</v>
      </c>
      <c r="O25" s="95">
        <f>COUNTIFS('別紙2-1出動実績報告表'!$O:$O,4,'別紙2-1出動実績報告表'!$P:$P,3,'別紙2-1出動実績報告表'!$Q:$Q,1,'別紙2-1出動実績報告表'!$R:$R,4,'別紙2-1出動実績報告表'!$S:$S,3)</f>
        <v>0</v>
      </c>
      <c r="P25" s="95">
        <f>COUNTIFS('別紙2-1出動実績報告表'!$O:$O,4,'別紙2-1出動実績報告表'!$P:$P,4,'別紙2-1出動実績報告表'!$Q:$Q,1,'別紙2-1出動実績報告表'!$R:$R,4,'別紙2-1出動実績報告表'!$S:$S,3)</f>
        <v>0</v>
      </c>
      <c r="Q25" s="95">
        <f>COUNTIFS('別紙2-1出動実績報告表'!$O:$O,5,'別紙2-1出動実績報告表'!$P:$P,1,'別紙2-1出動実績報告表'!$Q:$Q,1,'別紙2-1出動実績報告表'!$R:$R,4,'別紙2-1出動実績報告表'!$S:$S,3)</f>
        <v>0</v>
      </c>
      <c r="R25" s="95">
        <f>COUNTIFS('別紙2-1出動実績報告表'!$O:$O,9,'別紙2-1出動実績報告表'!$P:$P,9,'別紙2-1出動実績報告表'!$Q:$Q,1,'別紙2-1出動実績報告表'!$R:$R,4,'別紙2-1出動実績報告表'!$S:$S,3)</f>
        <v>0</v>
      </c>
      <c r="S25" s="95">
        <f>COUNTIFS('別紙2-1出動実績報告表'!$O:$O,0,'別紙2-1出動実績報告表'!$P:$P,0,'別紙2-1出動実績報告表'!$Q:$Q,1,'別紙2-1出動実績報告表'!$R:$R,4,'別紙2-1出動実績報告表'!$S:$S,3)</f>
        <v>0</v>
      </c>
      <c r="T25" s="95">
        <f t="shared" si="0"/>
        <v>0</v>
      </c>
      <c r="U25" s="96"/>
    </row>
    <row r="26" spans="1:21" ht="15" customHeight="1" x14ac:dyDescent="0.15">
      <c r="A26" s="97" t="s">
        <v>180</v>
      </c>
      <c r="B26" s="79" t="s">
        <v>166</v>
      </c>
      <c r="C26" s="93" t="s">
        <v>181</v>
      </c>
      <c r="D26" s="98" t="s">
        <v>182</v>
      </c>
      <c r="E26" s="95">
        <f>COUNTIFS('別紙2-1出動実績報告表'!$O:$O,1,'別紙2-1出動実績報告表'!$P:$P,1,'別紙2-1出動実績報告表'!$Q:$Q,1,'別紙2-1出動実績報告表'!$R:$R,4,'別紙2-1出動実績報告表'!$S:$S,4)</f>
        <v>0</v>
      </c>
      <c r="F26" s="95">
        <f>COUNTIFS('別紙2-1出動実績報告表'!$O:$O,1,'別紙2-1出動実績報告表'!$P:$P,2,'別紙2-1出動実績報告表'!$Q:$Q,1,'別紙2-1出動実績報告表'!$R:$R,4,'別紙2-1出動実績報告表'!$S:$S,4)</f>
        <v>0</v>
      </c>
      <c r="G26" s="95">
        <f>COUNTIFS('別紙2-1出動実績報告表'!$O:$O,1,'別紙2-1出動実績報告表'!$P:$P,3,'別紙2-1出動実績報告表'!$Q:$Q,1,'別紙2-1出動実績報告表'!$R:$R,4,'別紙2-1出動実績報告表'!$S:$S,4)</f>
        <v>0</v>
      </c>
      <c r="H26" s="95">
        <f>COUNTIFS('別紙2-1出動実績報告表'!$O:$O,2,'別紙2-1出動実績報告表'!$P:$P,1,'別紙2-1出動実績報告表'!$Q:$Q,1,'別紙2-1出動実績報告表'!$R:$R,4,'別紙2-1出動実績報告表'!$S:$S,4)</f>
        <v>0</v>
      </c>
      <c r="I26" s="95">
        <f>COUNTIFS('別紙2-1出動実績報告表'!$O:$O,2,'別紙2-1出動実績報告表'!$P:$P,2,'別紙2-1出動実績報告表'!$Q:$Q,1,'別紙2-1出動実績報告表'!$R:$R,4,'別紙2-1出動実績報告表'!$S:$S,4)</f>
        <v>0</v>
      </c>
      <c r="J26" s="95">
        <f>COUNTIFS('別紙2-1出動実績報告表'!$O:$O,3,'別紙2-1出動実績報告表'!$P:$P,1,'別紙2-1出動実績報告表'!$Q:$Q,1,'別紙2-1出動実績報告表'!$R:$R,4,'別紙2-1出動実績報告表'!$S:$S,4)</f>
        <v>0</v>
      </c>
      <c r="K26" s="95">
        <f>COUNTIFS('別紙2-1出動実績報告表'!$O:$O,3,'別紙2-1出動実績報告表'!$P:$P,2,'別紙2-1出動実績報告表'!$Q:$Q,1,'別紙2-1出動実績報告表'!$R:$R,4,'別紙2-1出動実績報告表'!$S:$S,4)</f>
        <v>0</v>
      </c>
      <c r="L26" s="95">
        <f>COUNTIFS('別紙2-1出動実績報告表'!$O:$O,3,'別紙2-1出動実績報告表'!$P:$P,3,'別紙2-1出動実績報告表'!$Q:$Q,1,'別紙2-1出動実績報告表'!$R:$R,4,'別紙2-1出動実績報告表'!$S:$S,4)</f>
        <v>0</v>
      </c>
      <c r="M26" s="95">
        <f>COUNTIFS('別紙2-1出動実績報告表'!$O:$O,4,'別紙2-1出動実績報告表'!$P:$P,1,'別紙2-1出動実績報告表'!$Q:$Q,1,'別紙2-1出動実績報告表'!$R:$R,4,'別紙2-1出動実績報告表'!$S:$S,4)</f>
        <v>0</v>
      </c>
      <c r="N26" s="95">
        <f>COUNTIFS('別紙2-1出動実績報告表'!$O:$O,4,'別紙2-1出動実績報告表'!$P:$P,2,'別紙2-1出動実績報告表'!$Q:$Q,1,'別紙2-1出動実績報告表'!$R:$R,4,'別紙2-1出動実績報告表'!$S:$S,4)</f>
        <v>0</v>
      </c>
      <c r="O26" s="95">
        <f>COUNTIFS('別紙2-1出動実績報告表'!$O:$O,4,'別紙2-1出動実績報告表'!$P:$P,3,'別紙2-1出動実績報告表'!$Q:$Q,1,'別紙2-1出動実績報告表'!$R:$R,4,'別紙2-1出動実績報告表'!$S:$S,4)</f>
        <v>0</v>
      </c>
      <c r="P26" s="95">
        <f>COUNTIFS('別紙2-1出動実績報告表'!$O:$O,4,'別紙2-1出動実績報告表'!$P:$P,4,'別紙2-1出動実績報告表'!$Q:$Q,1,'別紙2-1出動実績報告表'!$R:$R,4,'別紙2-1出動実績報告表'!$S:$S,4)</f>
        <v>0</v>
      </c>
      <c r="Q26" s="95">
        <f>COUNTIFS('別紙2-1出動実績報告表'!$O:$O,5,'別紙2-1出動実績報告表'!$P:$P,1,'別紙2-1出動実績報告表'!$Q:$Q,1,'別紙2-1出動実績報告表'!$R:$R,4,'別紙2-1出動実績報告表'!$S:$S,4)</f>
        <v>0</v>
      </c>
      <c r="R26" s="95">
        <f>COUNTIFS('別紙2-1出動実績報告表'!$O:$O,9,'別紙2-1出動実績報告表'!$P:$P,9,'別紙2-1出動実績報告表'!$Q:$Q,1,'別紙2-1出動実績報告表'!$R:$R,4,'別紙2-1出動実績報告表'!$S:$S,4)</f>
        <v>0</v>
      </c>
      <c r="S26" s="95">
        <f>COUNTIFS('別紙2-1出動実績報告表'!$O:$O,0,'別紙2-1出動実績報告表'!$P:$P,0,'別紙2-1出動実績報告表'!$Q:$Q,1,'別紙2-1出動実績報告表'!$R:$R,4,'別紙2-1出動実績報告表'!$S:$S,4)</f>
        <v>0</v>
      </c>
      <c r="T26" s="95">
        <f t="shared" si="0"/>
        <v>0</v>
      </c>
      <c r="U26" s="96"/>
    </row>
    <row r="27" spans="1:21" ht="15" customHeight="1" x14ac:dyDescent="0.15">
      <c r="A27" s="97"/>
      <c r="B27" s="79"/>
      <c r="C27" s="100" t="s">
        <v>183</v>
      </c>
      <c r="D27" s="98" t="s">
        <v>184</v>
      </c>
      <c r="E27" s="95">
        <f>COUNTIFS('別紙2-1出動実績報告表'!$O:$O,1,'別紙2-1出動実績報告表'!$P:$P,1,'別紙2-1出動実績報告表'!$Q:$Q,1,'別紙2-1出動実績報告表'!$R:$R,4,'別紙2-1出動実績報告表'!$S:$S,5)</f>
        <v>0</v>
      </c>
      <c r="F27" s="95">
        <f>COUNTIFS('別紙2-1出動実績報告表'!$O:$O,1,'別紙2-1出動実績報告表'!$P:$P,2,'別紙2-1出動実績報告表'!$Q:$Q,1,'別紙2-1出動実績報告表'!$R:$R,4,'別紙2-1出動実績報告表'!$S:$S,5)</f>
        <v>0</v>
      </c>
      <c r="G27" s="95">
        <f>COUNTIFS('別紙2-1出動実績報告表'!$O:$O,1,'別紙2-1出動実績報告表'!$P:$P,3,'別紙2-1出動実績報告表'!$Q:$Q,1,'別紙2-1出動実績報告表'!$R:$R,4,'別紙2-1出動実績報告表'!$S:$S,5)</f>
        <v>0</v>
      </c>
      <c r="H27" s="95">
        <f>COUNTIFS('別紙2-1出動実績報告表'!$O:$O,2,'別紙2-1出動実績報告表'!$P:$P,1,'別紙2-1出動実績報告表'!$Q:$Q,1,'別紙2-1出動実績報告表'!$R:$R,4,'別紙2-1出動実績報告表'!$S:$S,5)</f>
        <v>0</v>
      </c>
      <c r="I27" s="95">
        <f>COUNTIFS('別紙2-1出動実績報告表'!$O:$O,2,'別紙2-1出動実績報告表'!$P:$P,2,'別紙2-1出動実績報告表'!$Q:$Q,1,'別紙2-1出動実績報告表'!$R:$R,4,'別紙2-1出動実績報告表'!$S:$S,5)</f>
        <v>0</v>
      </c>
      <c r="J27" s="95">
        <f>COUNTIFS('別紙2-1出動実績報告表'!$O:$O,3,'別紙2-1出動実績報告表'!$P:$P,1,'別紙2-1出動実績報告表'!$Q:$Q,1,'別紙2-1出動実績報告表'!$R:$R,4,'別紙2-1出動実績報告表'!$S:$S,5)</f>
        <v>0</v>
      </c>
      <c r="K27" s="95">
        <f>COUNTIFS('別紙2-1出動実績報告表'!$O:$O,3,'別紙2-1出動実績報告表'!$P:$P,2,'別紙2-1出動実績報告表'!$Q:$Q,1,'別紙2-1出動実績報告表'!$R:$R,4,'別紙2-1出動実績報告表'!$S:$S,5)</f>
        <v>0</v>
      </c>
      <c r="L27" s="95">
        <f>COUNTIFS('別紙2-1出動実績報告表'!$O:$O,3,'別紙2-1出動実績報告表'!$P:$P,3,'別紙2-1出動実績報告表'!$Q:$Q,1,'別紙2-1出動実績報告表'!$R:$R,4,'別紙2-1出動実績報告表'!$S:$S,5)</f>
        <v>0</v>
      </c>
      <c r="M27" s="95">
        <f>COUNTIFS('別紙2-1出動実績報告表'!$O:$O,4,'別紙2-1出動実績報告表'!$P:$P,1,'別紙2-1出動実績報告表'!$Q:$Q,1,'別紙2-1出動実績報告表'!$R:$R,4,'別紙2-1出動実績報告表'!$S:$S,5)</f>
        <v>0</v>
      </c>
      <c r="N27" s="95">
        <f>COUNTIFS('別紙2-1出動実績報告表'!$O:$O,4,'別紙2-1出動実績報告表'!$P:$P,2,'別紙2-1出動実績報告表'!$Q:$Q,1,'別紙2-1出動実績報告表'!$R:$R,4,'別紙2-1出動実績報告表'!$S:$S,5)</f>
        <v>0</v>
      </c>
      <c r="O27" s="95">
        <f>COUNTIFS('別紙2-1出動実績報告表'!$O:$O,4,'別紙2-1出動実績報告表'!$P:$P,3,'別紙2-1出動実績報告表'!$Q:$Q,1,'別紙2-1出動実績報告表'!$R:$R,4,'別紙2-1出動実績報告表'!$S:$S,5)</f>
        <v>0</v>
      </c>
      <c r="P27" s="95">
        <f>COUNTIFS('別紙2-1出動実績報告表'!$O:$O,4,'別紙2-1出動実績報告表'!$P:$P,4,'別紙2-1出動実績報告表'!$Q:$Q,1,'別紙2-1出動実績報告表'!$R:$R,4,'別紙2-1出動実績報告表'!$S:$S,5)</f>
        <v>0</v>
      </c>
      <c r="Q27" s="95">
        <f>COUNTIFS('別紙2-1出動実績報告表'!$O:$O,5,'別紙2-1出動実績報告表'!$P:$P,1,'別紙2-1出動実績報告表'!$Q:$Q,1,'別紙2-1出動実績報告表'!$R:$R,4,'別紙2-1出動実績報告表'!$S:$S,5)</f>
        <v>0</v>
      </c>
      <c r="R27" s="95">
        <f>COUNTIFS('別紙2-1出動実績報告表'!$O:$O,9,'別紙2-1出動実績報告表'!$P:$P,9,'別紙2-1出動実績報告表'!$Q:$Q,1,'別紙2-1出動実績報告表'!$R:$R,4,'別紙2-1出動実績報告表'!$S:$S,5)</f>
        <v>0</v>
      </c>
      <c r="S27" s="95">
        <f>COUNTIFS('別紙2-1出動実績報告表'!$O:$O,0,'別紙2-1出動実績報告表'!$P:$P,0,'別紙2-1出動実績報告表'!$Q:$Q,1,'別紙2-1出動実績報告表'!$R:$R,4,'別紙2-1出動実績報告表'!$S:$S,5)</f>
        <v>0</v>
      </c>
      <c r="T27" s="95">
        <f t="shared" si="0"/>
        <v>0</v>
      </c>
      <c r="U27" s="96"/>
    </row>
    <row r="28" spans="1:21" ht="15" customHeight="1" x14ac:dyDescent="0.15">
      <c r="A28" s="97" t="s">
        <v>185</v>
      </c>
      <c r="B28" s="79"/>
      <c r="C28" s="101" t="s">
        <v>186</v>
      </c>
      <c r="D28" s="98" t="s">
        <v>162</v>
      </c>
      <c r="E28" s="95">
        <f>COUNTIFS('別紙2-1出動実績報告表'!$O:$O,1,'別紙2-1出動実績報告表'!$P:$P,1,'別紙2-1出動実績報告表'!$Q:$Q,1,'別紙2-1出動実績報告表'!$R:$R,4,'別紙2-1出動実績報告表'!$S:$S,9)</f>
        <v>0</v>
      </c>
      <c r="F28" s="95">
        <f>COUNTIFS('別紙2-1出動実績報告表'!$O:$O,1,'別紙2-1出動実績報告表'!$P:$P,2,'別紙2-1出動実績報告表'!$Q:$Q,1,'別紙2-1出動実績報告表'!$R:$R,4,'別紙2-1出動実績報告表'!$S:$S,9)</f>
        <v>0</v>
      </c>
      <c r="G28" s="95">
        <f>COUNTIFS('別紙2-1出動実績報告表'!$O:$O,1,'別紙2-1出動実績報告表'!$P:$P,3,'別紙2-1出動実績報告表'!$Q:$Q,1,'別紙2-1出動実績報告表'!$R:$R,4,'別紙2-1出動実績報告表'!$S:$S,9)</f>
        <v>0</v>
      </c>
      <c r="H28" s="95">
        <f>COUNTIFS('別紙2-1出動実績報告表'!$O:$O,2,'別紙2-1出動実績報告表'!$P:$P,1,'別紙2-1出動実績報告表'!$Q:$Q,1,'別紙2-1出動実績報告表'!$R:$R,4,'別紙2-1出動実績報告表'!$S:$S,9)</f>
        <v>0</v>
      </c>
      <c r="I28" s="95">
        <f>COUNTIFS('別紙2-1出動実績報告表'!$O:$O,2,'別紙2-1出動実績報告表'!$P:$P,2,'別紙2-1出動実績報告表'!$Q:$Q,1,'別紙2-1出動実績報告表'!$R:$R,4,'別紙2-1出動実績報告表'!$S:$S,9)</f>
        <v>0</v>
      </c>
      <c r="J28" s="95">
        <f>COUNTIFS('別紙2-1出動実績報告表'!$O:$O,3,'別紙2-1出動実績報告表'!$P:$P,1,'別紙2-1出動実績報告表'!$Q:$Q,1,'別紙2-1出動実績報告表'!$R:$R,4,'別紙2-1出動実績報告表'!$S:$S,9)</f>
        <v>0</v>
      </c>
      <c r="K28" s="95">
        <f>COUNTIFS('別紙2-1出動実績報告表'!$O:$O,3,'別紙2-1出動実績報告表'!$P:$P,2,'別紙2-1出動実績報告表'!$Q:$Q,1,'別紙2-1出動実績報告表'!$R:$R,4,'別紙2-1出動実績報告表'!$S:$S,9)</f>
        <v>0</v>
      </c>
      <c r="L28" s="95">
        <f>COUNTIFS('別紙2-1出動実績報告表'!$O:$O,3,'別紙2-1出動実績報告表'!$P:$P,3,'別紙2-1出動実績報告表'!$Q:$Q,1,'別紙2-1出動実績報告表'!$R:$R,4,'別紙2-1出動実績報告表'!$S:$S,9)</f>
        <v>0</v>
      </c>
      <c r="M28" s="95">
        <f>COUNTIFS('別紙2-1出動実績報告表'!$O:$O,4,'別紙2-1出動実績報告表'!$P:$P,1,'別紙2-1出動実績報告表'!$Q:$Q,1,'別紙2-1出動実績報告表'!$R:$R,4,'別紙2-1出動実績報告表'!$S:$S,9)</f>
        <v>0</v>
      </c>
      <c r="N28" s="95">
        <f>COUNTIFS('別紙2-1出動実績報告表'!$O:$O,4,'別紙2-1出動実績報告表'!$P:$P,2,'別紙2-1出動実績報告表'!$Q:$Q,1,'別紙2-1出動実績報告表'!$R:$R,4,'別紙2-1出動実績報告表'!$S:$S,9)</f>
        <v>0</v>
      </c>
      <c r="O28" s="95">
        <f>COUNTIFS('別紙2-1出動実績報告表'!$O:$O,4,'別紙2-1出動実績報告表'!$P:$P,3,'別紙2-1出動実績報告表'!$Q:$Q,1,'別紙2-1出動実績報告表'!$R:$R,4,'別紙2-1出動実績報告表'!$S:$S,9)</f>
        <v>0</v>
      </c>
      <c r="P28" s="95">
        <f>COUNTIFS('別紙2-1出動実績報告表'!$O:$O,4,'別紙2-1出動実績報告表'!$P:$P,4,'別紙2-1出動実績報告表'!$Q:$Q,1,'別紙2-1出動実績報告表'!$R:$R,4,'別紙2-1出動実績報告表'!$S:$S,9)</f>
        <v>0</v>
      </c>
      <c r="Q28" s="95">
        <f>COUNTIFS('別紙2-1出動実績報告表'!$O:$O,5,'別紙2-1出動実績報告表'!$P:$P,1,'別紙2-1出動実績報告表'!$Q:$Q,1,'別紙2-1出動実績報告表'!$R:$R,4,'別紙2-1出動実績報告表'!$S:$S,9)</f>
        <v>0</v>
      </c>
      <c r="R28" s="95">
        <f>COUNTIFS('別紙2-1出動実績報告表'!$O:$O,9,'別紙2-1出動実績報告表'!$P:$P,9,'別紙2-1出動実績報告表'!$Q:$Q,1,'別紙2-1出動実績報告表'!$R:$R,4,'別紙2-1出動実績報告表'!$S:$S,9)</f>
        <v>0</v>
      </c>
      <c r="S28" s="95">
        <f>COUNTIFS('別紙2-1出動実績報告表'!$O:$O,0,'別紙2-1出動実績報告表'!$P:$P,0,'別紙2-1出動実績報告表'!$Q:$Q,1,'別紙2-1出動実績報告表'!$R:$R,4,'別紙2-1出動実績報告表'!$S:$S,9)</f>
        <v>0</v>
      </c>
      <c r="T28" s="95">
        <f t="shared" si="0"/>
        <v>0</v>
      </c>
      <c r="U28" s="96"/>
    </row>
    <row r="29" spans="1:21" ht="15" customHeight="1" x14ac:dyDescent="0.15">
      <c r="A29" s="97"/>
      <c r="B29" s="90"/>
      <c r="C29" s="102" t="s">
        <v>187</v>
      </c>
      <c r="D29" s="98"/>
      <c r="E29" s="95">
        <f>COUNTIFS('別紙2-1出動実績報告表'!$O:$O,1,'別紙2-1出動実績報告表'!$P:$P,1,'別紙2-1出動実績報告表'!$Q:$Q,1,'別紙2-1出動実績報告表'!$R:$R,9,'別紙2-1出動実績報告表'!$S:$S,9)</f>
        <v>0</v>
      </c>
      <c r="F29" s="95">
        <f>COUNTIFS('別紙2-1出動実績報告表'!$O:$O,1,'別紙2-1出動実績報告表'!$P:$P,2,'別紙2-1出動実績報告表'!$Q:$Q,1,'別紙2-1出動実績報告表'!$R:$R,9,'別紙2-1出動実績報告表'!$S:$S,9)</f>
        <v>0</v>
      </c>
      <c r="G29" s="95">
        <f>COUNTIFS('別紙2-1出動実績報告表'!$O:$O,1,'別紙2-1出動実績報告表'!$P:$P,3,'別紙2-1出動実績報告表'!$Q:$Q,1,'別紙2-1出動実績報告表'!$R:$R,9,'別紙2-1出動実績報告表'!$S:$S,9)</f>
        <v>0</v>
      </c>
      <c r="H29" s="95">
        <f>COUNTIFS('別紙2-1出動実績報告表'!$O:$O,2,'別紙2-1出動実績報告表'!$P:$P,1,'別紙2-1出動実績報告表'!$Q:$Q,1,'別紙2-1出動実績報告表'!$R:$R,9,'別紙2-1出動実績報告表'!$S:$S,9)</f>
        <v>0</v>
      </c>
      <c r="I29" s="95">
        <f>COUNTIFS('別紙2-1出動実績報告表'!$O:$O,2,'別紙2-1出動実績報告表'!$P:$P,2,'別紙2-1出動実績報告表'!$Q:$Q,1,'別紙2-1出動実績報告表'!$R:$R,9,'別紙2-1出動実績報告表'!$S:$S,9)</f>
        <v>0</v>
      </c>
      <c r="J29" s="95">
        <f>COUNTIFS('別紙2-1出動実績報告表'!$O:$O,3,'別紙2-1出動実績報告表'!$P:$P,1,'別紙2-1出動実績報告表'!$Q:$Q,1,'別紙2-1出動実績報告表'!$R:$R,9,'別紙2-1出動実績報告表'!$S:$S,9)</f>
        <v>0</v>
      </c>
      <c r="K29" s="95">
        <f>COUNTIFS('別紙2-1出動実績報告表'!$O:$O,3,'別紙2-1出動実績報告表'!$P:$P,2,'別紙2-1出動実績報告表'!$Q:$Q,1,'別紙2-1出動実績報告表'!$R:$R,9,'別紙2-1出動実績報告表'!$S:$S,9)</f>
        <v>0</v>
      </c>
      <c r="L29" s="95">
        <f>COUNTIFS('別紙2-1出動実績報告表'!$O:$O,3,'別紙2-1出動実績報告表'!$P:$P,3,'別紙2-1出動実績報告表'!$Q:$Q,1,'別紙2-1出動実績報告表'!$R:$R,9,'別紙2-1出動実績報告表'!$S:$S,9)</f>
        <v>0</v>
      </c>
      <c r="M29" s="95">
        <f>COUNTIFS('別紙2-1出動実績報告表'!$O:$O,4,'別紙2-1出動実績報告表'!$P:$P,1,'別紙2-1出動実績報告表'!$Q:$Q,1,'別紙2-1出動実績報告表'!$R:$R,9,'別紙2-1出動実績報告表'!$S:$S,9)</f>
        <v>0</v>
      </c>
      <c r="N29" s="95">
        <f>COUNTIFS('別紙2-1出動実績報告表'!$O:$O,4,'別紙2-1出動実績報告表'!$P:$P,2,'別紙2-1出動実績報告表'!$Q:$Q,1,'別紙2-1出動実績報告表'!$R:$R,9,'別紙2-1出動実績報告表'!$S:$S,9)</f>
        <v>0</v>
      </c>
      <c r="O29" s="95">
        <f>COUNTIFS('別紙2-1出動実績報告表'!$O:$O,4,'別紙2-1出動実績報告表'!$P:$P,3,'別紙2-1出動実績報告表'!$Q:$Q,1,'別紙2-1出動実績報告表'!$R:$R,9,'別紙2-1出動実績報告表'!$S:$S,9)</f>
        <v>0</v>
      </c>
      <c r="P29" s="95">
        <f>COUNTIFS('別紙2-1出動実績報告表'!$O:$O,4,'別紙2-1出動実績報告表'!$P:$P,4,'別紙2-1出動実績報告表'!$Q:$Q,1,'別紙2-1出動実績報告表'!$R:$R,9,'別紙2-1出動実績報告表'!$S:$S,9)</f>
        <v>0</v>
      </c>
      <c r="Q29" s="95">
        <f>COUNTIFS('別紙2-1出動実績報告表'!$O:$O,5,'別紙2-1出動実績報告表'!$P:$P,1,'別紙2-1出動実績報告表'!$Q:$Q,1,'別紙2-1出動実績報告表'!$R:$R,9,'別紙2-1出動実績報告表'!$S:$S,9)</f>
        <v>0</v>
      </c>
      <c r="R29" s="95">
        <f>COUNTIFS('別紙2-1出動実績報告表'!$O:$O,9,'別紙2-1出動実績報告表'!$P:$P,9,'別紙2-1出動実績報告表'!$Q:$Q,1,'別紙2-1出動実績報告表'!$R:$R,9,'別紙2-1出動実績報告表'!$S:$S,9)</f>
        <v>0</v>
      </c>
      <c r="S29" s="95">
        <f>COUNTIFS('別紙2-1出動実績報告表'!$O:$O,0,'別紙2-1出動実績報告表'!$P:$P,0,'別紙2-1出動実績報告表'!$Q:$Q,1,'別紙2-1出動実績報告表'!$R:$R,9,'別紙2-1出動実績報告表'!$S:$S,9)</f>
        <v>0</v>
      </c>
      <c r="T29" s="95">
        <f t="shared" si="0"/>
        <v>0</v>
      </c>
      <c r="U29" s="96"/>
    </row>
    <row r="30" spans="1:21" ht="15" customHeight="1" x14ac:dyDescent="0.15">
      <c r="A30" s="97"/>
      <c r="B30" s="78"/>
      <c r="C30" s="99"/>
      <c r="D30" s="98" t="s">
        <v>188</v>
      </c>
      <c r="E30" s="95">
        <f>COUNTIFS('別紙2-1出動実績報告表'!$O:$O,1,'別紙2-1出動実績報告表'!$P:$P,1,'別紙2-1出動実績報告表'!$Q:$Q,2,'別紙2-1出動実績報告表'!$R:$R,1,'別紙2-1出動実績報告表'!$S:$S,1)</f>
        <v>0</v>
      </c>
      <c r="F30" s="95">
        <f>COUNTIFS('別紙2-1出動実績報告表'!$O:$O,1,'別紙2-1出動実績報告表'!$P:$P,2,'別紙2-1出動実績報告表'!$Q:$Q,2,'別紙2-1出動実績報告表'!$R:$R,1,'別紙2-1出動実績報告表'!$S:$S,1)</f>
        <v>0</v>
      </c>
      <c r="G30" s="95">
        <f>COUNTIFS('別紙2-1出動実績報告表'!$O:$O,1,'別紙2-1出動実績報告表'!$P:$P,3,'別紙2-1出動実績報告表'!$Q:$Q,2,'別紙2-1出動実績報告表'!$R:$R,1,'別紙2-1出動実績報告表'!$S:$S,1)</f>
        <v>0</v>
      </c>
      <c r="H30" s="95">
        <f>COUNTIFS('別紙2-1出動実績報告表'!$O:$O,2,'別紙2-1出動実績報告表'!$P:$P,1,'別紙2-1出動実績報告表'!$Q:$Q,2,'別紙2-1出動実績報告表'!$R:$R,1,'別紙2-1出動実績報告表'!$S:$S,1)</f>
        <v>0</v>
      </c>
      <c r="I30" s="95">
        <f>COUNTIFS('別紙2-1出動実績報告表'!$O:$O,2,'別紙2-1出動実績報告表'!$P:$P,2,'別紙2-1出動実績報告表'!$Q:$Q,2,'別紙2-1出動実績報告表'!$R:$R,1,'別紙2-1出動実績報告表'!$S:$S,1)</f>
        <v>0</v>
      </c>
      <c r="J30" s="95">
        <f>COUNTIFS('別紙2-1出動実績報告表'!$O:$O,3,'別紙2-1出動実績報告表'!$P:$P,1,'別紙2-1出動実績報告表'!$Q:$Q,2,'別紙2-1出動実績報告表'!$R:$R,1,'別紙2-1出動実績報告表'!$S:$S,1)</f>
        <v>0</v>
      </c>
      <c r="K30" s="95">
        <f>COUNTIFS('別紙2-1出動実績報告表'!$O:$O,3,'別紙2-1出動実績報告表'!$P:$P,2,'別紙2-1出動実績報告表'!$Q:$Q,2,'別紙2-1出動実績報告表'!$R:$R,1,'別紙2-1出動実績報告表'!$S:$S,1)</f>
        <v>0</v>
      </c>
      <c r="L30" s="95">
        <f>COUNTIFS('別紙2-1出動実績報告表'!$O:$O,3,'別紙2-1出動実績報告表'!$P:$P,3,'別紙2-1出動実績報告表'!$Q:$Q,2,'別紙2-1出動実績報告表'!$R:$R,1,'別紙2-1出動実績報告表'!$S:$S,1)</f>
        <v>0</v>
      </c>
      <c r="M30" s="95">
        <f>COUNTIFS('別紙2-1出動実績報告表'!$O:$O,4,'別紙2-1出動実績報告表'!$P:$P,1,'別紙2-1出動実績報告表'!$Q:$Q,2,'別紙2-1出動実績報告表'!$R:$R,1,'別紙2-1出動実績報告表'!$S:$S,1)</f>
        <v>0</v>
      </c>
      <c r="N30" s="95">
        <f>COUNTIFS('別紙2-1出動実績報告表'!$O:$O,4,'別紙2-1出動実績報告表'!$P:$P,2,'別紙2-1出動実績報告表'!$Q:$Q,2,'別紙2-1出動実績報告表'!$R:$R,1,'別紙2-1出動実績報告表'!$S:$S,1)</f>
        <v>0</v>
      </c>
      <c r="O30" s="95">
        <f>COUNTIFS('別紙2-1出動実績報告表'!$O:$O,4,'別紙2-1出動実績報告表'!$P:$P,3,'別紙2-1出動実績報告表'!$Q:$Q,2,'別紙2-1出動実績報告表'!$R:$R,1,'別紙2-1出動実績報告表'!$S:$S,1)</f>
        <v>0</v>
      </c>
      <c r="P30" s="95">
        <f>COUNTIFS('別紙2-1出動実績報告表'!$O:$O,4,'別紙2-1出動実績報告表'!$P:$P,4,'別紙2-1出動実績報告表'!$Q:$Q,2,'別紙2-1出動実績報告表'!$R:$R,1,'別紙2-1出動実績報告表'!$S:$S,1)</f>
        <v>0</v>
      </c>
      <c r="Q30" s="95">
        <f>COUNTIFS('別紙2-1出動実績報告表'!$O:$O,5,'別紙2-1出動実績報告表'!$P:$P,1,'別紙2-1出動実績報告表'!$Q:$Q,2,'別紙2-1出動実績報告表'!$R:$R,1,'別紙2-1出動実績報告表'!$S:$S,1)</f>
        <v>0</v>
      </c>
      <c r="R30" s="95">
        <f>COUNTIFS('別紙2-1出動実績報告表'!$O:$O,9,'別紙2-1出動実績報告表'!$P:$P,9,'別紙2-1出動実績報告表'!$Q:$Q,2,'別紙2-1出動実績報告表'!$R:$R,1,'別紙2-1出動実績報告表'!$S:$S,1)</f>
        <v>0</v>
      </c>
      <c r="S30" s="95">
        <f>COUNTIFS('別紙2-1出動実績報告表'!$O:$O,0,'別紙2-1出動実績報告表'!$P:$P,0,'別紙2-1出動実績報告表'!$Q:$Q,2,'別紙2-1出動実績報告表'!$R:$R,1,'別紙2-1出動実績報告表'!$S:$S,1)</f>
        <v>0</v>
      </c>
      <c r="T30" s="95">
        <f t="shared" si="0"/>
        <v>0</v>
      </c>
      <c r="U30" s="96"/>
    </row>
    <row r="31" spans="1:21" ht="15" customHeight="1" x14ac:dyDescent="0.15">
      <c r="A31" s="97"/>
      <c r="B31" s="79"/>
      <c r="C31" s="93" t="s">
        <v>189</v>
      </c>
      <c r="D31" s="98" t="s">
        <v>190</v>
      </c>
      <c r="E31" s="95">
        <f>COUNTIFS('別紙2-1出動実績報告表'!$O:$O,1,'別紙2-1出動実績報告表'!$P:$P,1,'別紙2-1出動実績報告表'!$Q:$Q,2,'別紙2-1出動実績報告表'!$R:$R,1,'別紙2-1出動実績報告表'!$S:$S,2)</f>
        <v>0</v>
      </c>
      <c r="F31" s="95">
        <f>COUNTIFS('別紙2-1出動実績報告表'!$O:$O,1,'別紙2-1出動実績報告表'!$P:$P,2,'別紙2-1出動実績報告表'!$Q:$Q,2,'別紙2-1出動実績報告表'!$R:$R,1,'別紙2-1出動実績報告表'!$S:$S,2)</f>
        <v>0</v>
      </c>
      <c r="G31" s="95">
        <f>COUNTIFS('別紙2-1出動実績報告表'!$O:$O,1,'別紙2-1出動実績報告表'!$P:$P,3,'別紙2-1出動実績報告表'!$Q:$Q,2,'別紙2-1出動実績報告表'!$R:$R,1,'別紙2-1出動実績報告表'!$S:$S,2)</f>
        <v>0</v>
      </c>
      <c r="H31" s="95">
        <f>COUNTIFS('別紙2-1出動実績報告表'!$O:$O,2,'別紙2-1出動実績報告表'!$P:$P,1,'別紙2-1出動実績報告表'!$Q:$Q,2,'別紙2-1出動実績報告表'!$R:$R,1,'別紙2-1出動実績報告表'!$S:$S,2)</f>
        <v>0</v>
      </c>
      <c r="I31" s="95">
        <f>COUNTIFS('別紙2-1出動実績報告表'!$O:$O,2,'別紙2-1出動実績報告表'!$P:$P,2,'別紙2-1出動実績報告表'!$Q:$Q,2,'別紙2-1出動実績報告表'!$R:$R,1,'別紙2-1出動実績報告表'!$S:$S,2)</f>
        <v>0</v>
      </c>
      <c r="J31" s="95">
        <f>COUNTIFS('別紙2-1出動実績報告表'!$O:$O,3,'別紙2-1出動実績報告表'!$P:$P,1,'別紙2-1出動実績報告表'!$Q:$Q,2,'別紙2-1出動実績報告表'!$R:$R,1,'別紙2-1出動実績報告表'!$S:$S,2)</f>
        <v>0</v>
      </c>
      <c r="K31" s="95">
        <f>COUNTIFS('別紙2-1出動実績報告表'!$O:$O,3,'別紙2-1出動実績報告表'!$P:$P,2,'別紙2-1出動実績報告表'!$Q:$Q,2,'別紙2-1出動実績報告表'!$R:$R,1,'別紙2-1出動実績報告表'!$S:$S,2)</f>
        <v>0</v>
      </c>
      <c r="L31" s="95">
        <f>COUNTIFS('別紙2-1出動実績報告表'!$O:$O,3,'別紙2-1出動実績報告表'!$P:$P,3,'別紙2-1出動実績報告表'!$Q:$Q,2,'別紙2-1出動実績報告表'!$R:$R,1,'別紙2-1出動実績報告表'!$S:$S,2)</f>
        <v>0</v>
      </c>
      <c r="M31" s="95">
        <f>COUNTIFS('別紙2-1出動実績報告表'!$O:$O,4,'別紙2-1出動実績報告表'!$P:$P,1,'別紙2-1出動実績報告表'!$Q:$Q,2,'別紙2-1出動実績報告表'!$R:$R,1,'別紙2-1出動実績報告表'!$S:$S,2)</f>
        <v>0</v>
      </c>
      <c r="N31" s="95">
        <f>COUNTIFS('別紙2-1出動実績報告表'!$O:$O,4,'別紙2-1出動実績報告表'!$P:$P,2,'別紙2-1出動実績報告表'!$Q:$Q,2,'別紙2-1出動実績報告表'!$R:$R,1,'別紙2-1出動実績報告表'!$S:$S,2)</f>
        <v>0</v>
      </c>
      <c r="O31" s="95">
        <f>COUNTIFS('別紙2-1出動実績報告表'!$O:$O,4,'別紙2-1出動実績報告表'!$P:$P,3,'別紙2-1出動実績報告表'!$Q:$Q,2,'別紙2-1出動実績報告表'!$R:$R,1,'別紙2-1出動実績報告表'!$S:$S,2)</f>
        <v>0</v>
      </c>
      <c r="P31" s="95">
        <f>COUNTIFS('別紙2-1出動実績報告表'!$O:$O,4,'別紙2-1出動実績報告表'!$P:$P,4,'別紙2-1出動実績報告表'!$Q:$Q,2,'別紙2-1出動実績報告表'!$R:$R,1,'別紙2-1出動実績報告表'!$S:$S,2)</f>
        <v>0</v>
      </c>
      <c r="Q31" s="95">
        <f>COUNTIFS('別紙2-1出動実績報告表'!$O:$O,5,'別紙2-1出動実績報告表'!$P:$P,1,'別紙2-1出動実績報告表'!$Q:$Q,2,'別紙2-1出動実績報告表'!$R:$R,1,'別紙2-1出動実績報告表'!$S:$S,2)</f>
        <v>0</v>
      </c>
      <c r="R31" s="95">
        <f>COUNTIFS('別紙2-1出動実績報告表'!$O:$O,9,'別紙2-1出動実績報告表'!$P:$P,9,'別紙2-1出動実績報告表'!$Q:$Q,2,'別紙2-1出動実績報告表'!$R:$R,1,'別紙2-1出動実績報告表'!$S:$S,2)</f>
        <v>0</v>
      </c>
      <c r="S31" s="95">
        <f>COUNTIFS('別紙2-1出動実績報告表'!$O:$O,0,'別紙2-1出動実績報告表'!$P:$P,0,'別紙2-1出動実績報告表'!$Q:$Q,2,'別紙2-1出動実績報告表'!$R:$R,1,'別紙2-1出動実績報告表'!$S:$S,2)</f>
        <v>0</v>
      </c>
      <c r="T31" s="95">
        <f t="shared" si="0"/>
        <v>0</v>
      </c>
      <c r="U31" s="96"/>
    </row>
    <row r="32" spans="1:21" ht="15" customHeight="1" x14ac:dyDescent="0.15">
      <c r="A32" s="97"/>
      <c r="B32" s="79" t="s">
        <v>191</v>
      </c>
      <c r="C32" s="93" t="s">
        <v>192</v>
      </c>
      <c r="D32" s="98" t="s">
        <v>193</v>
      </c>
      <c r="E32" s="95">
        <f>COUNTIFS('別紙2-1出動実績報告表'!$O:$O,1,'別紙2-1出動実績報告表'!$P:$P,1,'別紙2-1出動実績報告表'!$Q:$Q,2,'別紙2-1出動実績報告表'!$R:$R,1,'別紙2-1出動実績報告表'!$S:$S,3)</f>
        <v>0</v>
      </c>
      <c r="F32" s="95">
        <f>COUNTIFS('別紙2-1出動実績報告表'!$O:$O,1,'別紙2-1出動実績報告表'!$P:$P,2,'別紙2-1出動実績報告表'!$Q:$Q,2,'別紙2-1出動実績報告表'!$R:$R,1,'別紙2-1出動実績報告表'!$S:$S,3)</f>
        <v>0</v>
      </c>
      <c r="G32" s="95">
        <f>COUNTIFS('別紙2-1出動実績報告表'!$O:$O,1,'別紙2-1出動実績報告表'!$P:$P,3,'別紙2-1出動実績報告表'!$Q:$Q,2,'別紙2-1出動実績報告表'!$R:$R,1,'別紙2-1出動実績報告表'!$S:$S,3)</f>
        <v>0</v>
      </c>
      <c r="H32" s="95">
        <f>COUNTIFS('別紙2-1出動実績報告表'!$O:$O,2,'別紙2-1出動実績報告表'!$P:$P,1,'別紙2-1出動実績報告表'!$Q:$Q,2,'別紙2-1出動実績報告表'!$R:$R,1,'別紙2-1出動実績報告表'!$S:$S,3)</f>
        <v>0</v>
      </c>
      <c r="I32" s="95">
        <f>COUNTIFS('別紙2-1出動実績報告表'!$O:$O,2,'別紙2-1出動実績報告表'!$P:$P,2,'別紙2-1出動実績報告表'!$Q:$Q,2,'別紙2-1出動実績報告表'!$R:$R,1,'別紙2-1出動実績報告表'!$S:$S,3)</f>
        <v>0</v>
      </c>
      <c r="J32" s="95">
        <f>COUNTIFS('別紙2-1出動実績報告表'!$O:$O,3,'別紙2-1出動実績報告表'!$P:$P,1,'別紙2-1出動実績報告表'!$Q:$Q,2,'別紙2-1出動実績報告表'!$R:$R,1,'別紙2-1出動実績報告表'!$S:$S,3)</f>
        <v>0</v>
      </c>
      <c r="K32" s="95">
        <f>COUNTIFS('別紙2-1出動実績報告表'!$O:$O,3,'別紙2-1出動実績報告表'!$P:$P,2,'別紙2-1出動実績報告表'!$Q:$Q,2,'別紙2-1出動実績報告表'!$R:$R,1,'別紙2-1出動実績報告表'!$S:$S,3)</f>
        <v>0</v>
      </c>
      <c r="L32" s="95">
        <f>COUNTIFS('別紙2-1出動実績報告表'!$O:$O,3,'別紙2-1出動実績報告表'!$P:$P,3,'別紙2-1出動実績報告表'!$Q:$Q,2,'別紙2-1出動実績報告表'!$R:$R,1,'別紙2-1出動実績報告表'!$S:$S,3)</f>
        <v>0</v>
      </c>
      <c r="M32" s="95">
        <f>COUNTIFS('別紙2-1出動実績報告表'!$O:$O,4,'別紙2-1出動実績報告表'!$P:$P,1,'別紙2-1出動実績報告表'!$Q:$Q,2,'別紙2-1出動実績報告表'!$R:$R,1,'別紙2-1出動実績報告表'!$S:$S,3)</f>
        <v>0</v>
      </c>
      <c r="N32" s="95">
        <f>COUNTIFS('別紙2-1出動実績報告表'!$O:$O,4,'別紙2-1出動実績報告表'!$P:$P,2,'別紙2-1出動実績報告表'!$Q:$Q,2,'別紙2-1出動実績報告表'!$R:$R,1,'別紙2-1出動実績報告表'!$S:$S,3)</f>
        <v>0</v>
      </c>
      <c r="O32" s="95">
        <f>COUNTIFS('別紙2-1出動実績報告表'!$O:$O,4,'別紙2-1出動実績報告表'!$P:$P,3,'別紙2-1出動実績報告表'!$Q:$Q,2,'別紙2-1出動実績報告表'!$R:$R,1,'別紙2-1出動実績報告表'!$S:$S,3)</f>
        <v>0</v>
      </c>
      <c r="P32" s="95">
        <f>COUNTIFS('別紙2-1出動実績報告表'!$O:$O,4,'別紙2-1出動実績報告表'!$P:$P,4,'別紙2-1出動実績報告表'!$Q:$Q,2,'別紙2-1出動実績報告表'!$R:$R,1,'別紙2-1出動実績報告表'!$S:$S,3)</f>
        <v>0</v>
      </c>
      <c r="Q32" s="95">
        <f>COUNTIFS('別紙2-1出動実績報告表'!$O:$O,5,'別紙2-1出動実績報告表'!$P:$P,1,'別紙2-1出動実績報告表'!$Q:$Q,2,'別紙2-1出動実績報告表'!$R:$R,1,'別紙2-1出動実績報告表'!$S:$S,3)</f>
        <v>0</v>
      </c>
      <c r="R32" s="95">
        <f>COUNTIFS('別紙2-1出動実績報告表'!$O:$O,9,'別紙2-1出動実績報告表'!$P:$P,9,'別紙2-1出動実績報告表'!$Q:$Q,2,'別紙2-1出動実績報告表'!$R:$R,1,'別紙2-1出動実績報告表'!$S:$S,3)</f>
        <v>0</v>
      </c>
      <c r="S32" s="95">
        <f>COUNTIFS('別紙2-1出動実績報告表'!$O:$O,0,'別紙2-1出動実績報告表'!$P:$P,0,'別紙2-1出動実績報告表'!$Q:$Q,2,'別紙2-1出動実績報告表'!$R:$R,1,'別紙2-1出動実績報告表'!$S:$S,3)</f>
        <v>0</v>
      </c>
      <c r="T32" s="95">
        <f t="shared" si="0"/>
        <v>0</v>
      </c>
      <c r="U32" s="96"/>
    </row>
    <row r="33" spans="1:21" ht="15" customHeight="1" x14ac:dyDescent="0.15">
      <c r="A33" s="97"/>
      <c r="B33" s="79" t="s">
        <v>194</v>
      </c>
      <c r="C33" s="93" t="s">
        <v>157</v>
      </c>
      <c r="D33" s="98" t="s">
        <v>195</v>
      </c>
      <c r="E33" s="95">
        <f>COUNTIFS('別紙2-1出動実績報告表'!$O:$O,1,'別紙2-1出動実績報告表'!$P:$P,1,'別紙2-1出動実績報告表'!$Q:$Q,2,'別紙2-1出動実績報告表'!$R:$R,1,'別紙2-1出動実績報告表'!$S:$S,4)</f>
        <v>0</v>
      </c>
      <c r="F33" s="95">
        <f>COUNTIFS('別紙2-1出動実績報告表'!$O:$O,1,'別紙2-1出動実績報告表'!$P:$P,2,'別紙2-1出動実績報告表'!$Q:$Q,2,'別紙2-1出動実績報告表'!$R:$R,1,'別紙2-1出動実績報告表'!$S:$S,4)</f>
        <v>0</v>
      </c>
      <c r="G33" s="95">
        <f>COUNTIFS('別紙2-1出動実績報告表'!$O:$O,1,'別紙2-1出動実績報告表'!$P:$P,3,'別紙2-1出動実績報告表'!$Q:$Q,2,'別紙2-1出動実績報告表'!$R:$R,1,'別紙2-1出動実績報告表'!$S:$S,4)</f>
        <v>0</v>
      </c>
      <c r="H33" s="95">
        <f>COUNTIFS('別紙2-1出動実績報告表'!$O:$O,2,'別紙2-1出動実績報告表'!$P:$P,1,'別紙2-1出動実績報告表'!$Q:$Q,2,'別紙2-1出動実績報告表'!$R:$R,1,'別紙2-1出動実績報告表'!$S:$S,4)</f>
        <v>0</v>
      </c>
      <c r="I33" s="95">
        <f>COUNTIFS('別紙2-1出動実績報告表'!$O:$O,2,'別紙2-1出動実績報告表'!$P:$P,2,'別紙2-1出動実績報告表'!$Q:$Q,2,'別紙2-1出動実績報告表'!$R:$R,1,'別紙2-1出動実績報告表'!$S:$S,4)</f>
        <v>0</v>
      </c>
      <c r="J33" s="95">
        <f>COUNTIFS('別紙2-1出動実績報告表'!$O:$O,3,'別紙2-1出動実績報告表'!$P:$P,1,'別紙2-1出動実績報告表'!$Q:$Q,2,'別紙2-1出動実績報告表'!$R:$R,1,'別紙2-1出動実績報告表'!$S:$S,4)</f>
        <v>0</v>
      </c>
      <c r="K33" s="95">
        <f>COUNTIFS('別紙2-1出動実績報告表'!$O:$O,3,'別紙2-1出動実績報告表'!$P:$P,2,'別紙2-1出動実績報告表'!$Q:$Q,2,'別紙2-1出動実績報告表'!$R:$R,1,'別紙2-1出動実績報告表'!$S:$S,4)</f>
        <v>0</v>
      </c>
      <c r="L33" s="95">
        <f>COUNTIFS('別紙2-1出動実績報告表'!$O:$O,3,'別紙2-1出動実績報告表'!$P:$P,3,'別紙2-1出動実績報告表'!$Q:$Q,2,'別紙2-1出動実績報告表'!$R:$R,1,'別紙2-1出動実績報告表'!$S:$S,4)</f>
        <v>0</v>
      </c>
      <c r="M33" s="95">
        <f>COUNTIFS('別紙2-1出動実績報告表'!$O:$O,4,'別紙2-1出動実績報告表'!$P:$P,1,'別紙2-1出動実績報告表'!$Q:$Q,2,'別紙2-1出動実績報告表'!$R:$R,1,'別紙2-1出動実績報告表'!$S:$S,4)</f>
        <v>0</v>
      </c>
      <c r="N33" s="95">
        <f>COUNTIFS('別紙2-1出動実績報告表'!$O:$O,4,'別紙2-1出動実績報告表'!$P:$P,2,'別紙2-1出動実績報告表'!$Q:$Q,2,'別紙2-1出動実績報告表'!$R:$R,1,'別紙2-1出動実績報告表'!$S:$S,4)</f>
        <v>0</v>
      </c>
      <c r="O33" s="95">
        <f>COUNTIFS('別紙2-1出動実績報告表'!$O:$O,4,'別紙2-1出動実績報告表'!$P:$P,3,'別紙2-1出動実績報告表'!$Q:$Q,2,'別紙2-1出動実績報告表'!$R:$R,1,'別紙2-1出動実績報告表'!$S:$S,4)</f>
        <v>0</v>
      </c>
      <c r="P33" s="95">
        <f>COUNTIFS('別紙2-1出動実績報告表'!$O:$O,4,'別紙2-1出動実績報告表'!$P:$P,4,'別紙2-1出動実績報告表'!$Q:$Q,2,'別紙2-1出動実績報告表'!$R:$R,1,'別紙2-1出動実績報告表'!$S:$S,4)</f>
        <v>0</v>
      </c>
      <c r="Q33" s="95">
        <f>COUNTIFS('別紙2-1出動実績報告表'!$O:$O,5,'別紙2-1出動実績報告表'!$P:$P,1,'別紙2-1出動実績報告表'!$Q:$Q,2,'別紙2-1出動実績報告表'!$R:$R,1,'別紙2-1出動実績報告表'!$S:$S,4)</f>
        <v>0</v>
      </c>
      <c r="R33" s="95">
        <f>COUNTIFS('別紙2-1出動実績報告表'!$O:$O,9,'別紙2-1出動実績報告表'!$P:$P,9,'別紙2-1出動実績報告表'!$Q:$Q,2,'別紙2-1出動実績報告表'!$R:$R,1,'別紙2-1出動実績報告表'!$S:$S,4)</f>
        <v>0</v>
      </c>
      <c r="S33" s="95">
        <f>COUNTIFS('別紙2-1出動実績報告表'!$O:$O,0,'別紙2-1出動実績報告表'!$P:$P,0,'別紙2-1出動実績報告表'!$Q:$Q,2,'別紙2-1出動実績報告表'!$R:$R,1,'別紙2-1出動実績報告表'!$S:$S,4)</f>
        <v>0</v>
      </c>
      <c r="T33" s="95">
        <f t="shared" si="0"/>
        <v>0</v>
      </c>
      <c r="U33" s="96"/>
    </row>
    <row r="34" spans="1:21" ht="15" customHeight="1" x14ac:dyDescent="0.15">
      <c r="A34" s="97"/>
      <c r="B34" s="79" t="s">
        <v>196</v>
      </c>
      <c r="C34" s="93" t="s">
        <v>160</v>
      </c>
      <c r="D34" s="98" t="s">
        <v>197</v>
      </c>
      <c r="E34" s="95">
        <f>COUNTIFS('別紙2-1出動実績報告表'!$O:$O,1,'別紙2-1出動実績報告表'!$P:$P,1,'別紙2-1出動実績報告表'!$Q:$Q,2,'別紙2-1出動実績報告表'!$R:$R,1,'別紙2-1出動実績報告表'!$S:$S,5)</f>
        <v>0</v>
      </c>
      <c r="F34" s="95">
        <f>COUNTIFS('別紙2-1出動実績報告表'!$O:$O,1,'別紙2-1出動実績報告表'!$P:$P,2,'別紙2-1出動実績報告表'!$Q:$Q,2,'別紙2-1出動実績報告表'!$R:$R,1,'別紙2-1出動実績報告表'!$S:$S,5)</f>
        <v>0</v>
      </c>
      <c r="G34" s="95">
        <f>COUNTIFS('別紙2-1出動実績報告表'!$O:$O,1,'別紙2-1出動実績報告表'!$P:$P,3,'別紙2-1出動実績報告表'!$Q:$Q,2,'別紙2-1出動実績報告表'!$R:$R,1,'別紙2-1出動実績報告表'!$S:$S,5)</f>
        <v>0</v>
      </c>
      <c r="H34" s="95">
        <f>COUNTIFS('別紙2-1出動実績報告表'!$O:$O,2,'別紙2-1出動実績報告表'!$P:$P,1,'別紙2-1出動実績報告表'!$Q:$Q,2,'別紙2-1出動実績報告表'!$R:$R,1,'別紙2-1出動実績報告表'!$S:$S,5)</f>
        <v>0</v>
      </c>
      <c r="I34" s="95">
        <f>COUNTIFS('別紙2-1出動実績報告表'!$O:$O,2,'別紙2-1出動実績報告表'!$P:$P,2,'別紙2-1出動実績報告表'!$Q:$Q,2,'別紙2-1出動実績報告表'!$R:$R,1,'別紙2-1出動実績報告表'!$S:$S,5)</f>
        <v>0</v>
      </c>
      <c r="J34" s="95">
        <f>COUNTIFS('別紙2-1出動実績報告表'!$O:$O,3,'別紙2-1出動実績報告表'!$P:$P,1,'別紙2-1出動実績報告表'!$Q:$Q,2,'別紙2-1出動実績報告表'!$R:$R,1,'別紙2-1出動実績報告表'!$S:$S,5)</f>
        <v>0</v>
      </c>
      <c r="K34" s="95">
        <f>COUNTIFS('別紙2-1出動実績報告表'!$O:$O,3,'別紙2-1出動実績報告表'!$P:$P,2,'別紙2-1出動実績報告表'!$Q:$Q,2,'別紙2-1出動実績報告表'!$R:$R,1,'別紙2-1出動実績報告表'!$S:$S,5)</f>
        <v>0</v>
      </c>
      <c r="L34" s="95">
        <f>COUNTIFS('別紙2-1出動実績報告表'!$O:$O,3,'別紙2-1出動実績報告表'!$P:$P,3,'別紙2-1出動実績報告表'!$Q:$Q,2,'別紙2-1出動実績報告表'!$R:$R,1,'別紙2-1出動実績報告表'!$S:$S,5)</f>
        <v>0</v>
      </c>
      <c r="M34" s="95">
        <f>COUNTIFS('別紙2-1出動実績報告表'!$O:$O,4,'別紙2-1出動実績報告表'!$P:$P,1,'別紙2-1出動実績報告表'!$Q:$Q,2,'別紙2-1出動実績報告表'!$R:$R,1,'別紙2-1出動実績報告表'!$S:$S,5)</f>
        <v>0</v>
      </c>
      <c r="N34" s="95">
        <f>COUNTIFS('別紙2-1出動実績報告表'!$O:$O,4,'別紙2-1出動実績報告表'!$P:$P,2,'別紙2-1出動実績報告表'!$Q:$Q,2,'別紙2-1出動実績報告表'!$R:$R,1,'別紙2-1出動実績報告表'!$S:$S,5)</f>
        <v>0</v>
      </c>
      <c r="O34" s="95">
        <f>COUNTIFS('別紙2-1出動実績報告表'!$O:$O,4,'別紙2-1出動実績報告表'!$P:$P,3,'別紙2-1出動実績報告表'!$Q:$Q,2,'別紙2-1出動実績報告表'!$R:$R,1,'別紙2-1出動実績報告表'!$S:$S,5)</f>
        <v>0</v>
      </c>
      <c r="P34" s="95">
        <f>COUNTIFS('別紙2-1出動実績報告表'!$O:$O,4,'別紙2-1出動実績報告表'!$P:$P,4,'別紙2-1出動実績報告表'!$Q:$Q,2,'別紙2-1出動実績報告表'!$R:$R,1,'別紙2-1出動実績報告表'!$S:$S,5)</f>
        <v>0</v>
      </c>
      <c r="Q34" s="95">
        <f>COUNTIFS('別紙2-1出動実績報告表'!$O:$O,5,'別紙2-1出動実績報告表'!$P:$P,1,'別紙2-1出動実績報告表'!$Q:$Q,2,'別紙2-1出動実績報告表'!$R:$R,1,'別紙2-1出動実績報告表'!$S:$S,5)</f>
        <v>0</v>
      </c>
      <c r="R34" s="95">
        <f>COUNTIFS('別紙2-1出動実績報告表'!$O:$O,9,'別紙2-1出動実績報告表'!$P:$P,9,'別紙2-1出動実績報告表'!$Q:$Q,2,'別紙2-1出動実績報告表'!$R:$R,1,'別紙2-1出動実績報告表'!$S:$S,5)</f>
        <v>0</v>
      </c>
      <c r="S34" s="95">
        <f>COUNTIFS('別紙2-1出動実績報告表'!$O:$O,0,'別紙2-1出動実績報告表'!$P:$P,0,'別紙2-1出動実績報告表'!$Q:$Q,2,'別紙2-1出動実績報告表'!$R:$R,1,'別紙2-1出動実績報告表'!$S:$S,5)</f>
        <v>0</v>
      </c>
      <c r="T34" s="95">
        <f t="shared" si="0"/>
        <v>0</v>
      </c>
      <c r="U34" s="96"/>
    </row>
    <row r="35" spans="1:21" ht="15" customHeight="1" x14ac:dyDescent="0.15">
      <c r="A35" s="97"/>
      <c r="B35" s="79" t="s">
        <v>191</v>
      </c>
      <c r="C35" s="93"/>
      <c r="D35" s="98" t="s">
        <v>198</v>
      </c>
      <c r="E35" s="95">
        <f>COUNTIFS('別紙2-1出動実績報告表'!$O:$O,1,'別紙2-1出動実績報告表'!$P:$P,1,'別紙2-1出動実績報告表'!$Q:$Q,2,'別紙2-1出動実績報告表'!$R:$R,1,'別紙2-1出動実績報告表'!$S:$S,6)</f>
        <v>0</v>
      </c>
      <c r="F35" s="95">
        <f>COUNTIFS('別紙2-1出動実績報告表'!$O:$O,1,'別紙2-1出動実績報告表'!$P:$P,2,'別紙2-1出動実績報告表'!$Q:$Q,2,'別紙2-1出動実績報告表'!$R:$R,1,'別紙2-1出動実績報告表'!$S:$S,6)</f>
        <v>0</v>
      </c>
      <c r="G35" s="95">
        <f>COUNTIFS('別紙2-1出動実績報告表'!$O:$O,1,'別紙2-1出動実績報告表'!$P:$P,3,'別紙2-1出動実績報告表'!$Q:$Q,2,'別紙2-1出動実績報告表'!$R:$R,1,'別紙2-1出動実績報告表'!$S:$S,6)</f>
        <v>0</v>
      </c>
      <c r="H35" s="95">
        <f>COUNTIFS('別紙2-1出動実績報告表'!$O:$O,2,'別紙2-1出動実績報告表'!$P:$P,1,'別紙2-1出動実績報告表'!$Q:$Q,2,'別紙2-1出動実績報告表'!$R:$R,1,'別紙2-1出動実績報告表'!$S:$S,6)</f>
        <v>0</v>
      </c>
      <c r="I35" s="95">
        <f>COUNTIFS('別紙2-1出動実績報告表'!$O:$O,2,'別紙2-1出動実績報告表'!$P:$P,2,'別紙2-1出動実績報告表'!$Q:$Q,2,'別紙2-1出動実績報告表'!$R:$R,1,'別紙2-1出動実績報告表'!$S:$S,6)</f>
        <v>0</v>
      </c>
      <c r="J35" s="95">
        <f>COUNTIFS('別紙2-1出動実績報告表'!$O:$O,3,'別紙2-1出動実績報告表'!$P:$P,1,'別紙2-1出動実績報告表'!$Q:$Q,2,'別紙2-1出動実績報告表'!$R:$R,1,'別紙2-1出動実績報告表'!$S:$S,6)</f>
        <v>0</v>
      </c>
      <c r="K35" s="95">
        <f>COUNTIFS('別紙2-1出動実績報告表'!$O:$O,3,'別紙2-1出動実績報告表'!$P:$P,2,'別紙2-1出動実績報告表'!$Q:$Q,2,'別紙2-1出動実績報告表'!$R:$R,1,'別紙2-1出動実績報告表'!$S:$S,6)</f>
        <v>0</v>
      </c>
      <c r="L35" s="95">
        <f>COUNTIFS('別紙2-1出動実績報告表'!$O:$O,3,'別紙2-1出動実績報告表'!$P:$P,3,'別紙2-1出動実績報告表'!$Q:$Q,2,'別紙2-1出動実績報告表'!$R:$R,1,'別紙2-1出動実績報告表'!$S:$S,6)</f>
        <v>0</v>
      </c>
      <c r="M35" s="95">
        <f>COUNTIFS('別紙2-1出動実績報告表'!$O:$O,4,'別紙2-1出動実績報告表'!$P:$P,1,'別紙2-1出動実績報告表'!$Q:$Q,2,'別紙2-1出動実績報告表'!$R:$R,1,'別紙2-1出動実績報告表'!$S:$S,6)</f>
        <v>0</v>
      </c>
      <c r="N35" s="95">
        <f>COUNTIFS('別紙2-1出動実績報告表'!$O:$O,4,'別紙2-1出動実績報告表'!$P:$P,2,'別紙2-1出動実績報告表'!$Q:$Q,2,'別紙2-1出動実績報告表'!$R:$R,1,'別紙2-1出動実績報告表'!$S:$S,6)</f>
        <v>0</v>
      </c>
      <c r="O35" s="95">
        <f>COUNTIFS('別紙2-1出動実績報告表'!$O:$O,4,'別紙2-1出動実績報告表'!$P:$P,3,'別紙2-1出動実績報告表'!$Q:$Q,2,'別紙2-1出動実績報告表'!$R:$R,1,'別紙2-1出動実績報告表'!$S:$S,6)</f>
        <v>0</v>
      </c>
      <c r="P35" s="95">
        <f>COUNTIFS('別紙2-1出動実績報告表'!$O:$O,4,'別紙2-1出動実績報告表'!$P:$P,4,'別紙2-1出動実績報告表'!$Q:$Q,2,'別紙2-1出動実績報告表'!$R:$R,1,'別紙2-1出動実績報告表'!$S:$S,6)</f>
        <v>0</v>
      </c>
      <c r="Q35" s="95">
        <f>COUNTIFS('別紙2-1出動実績報告表'!$O:$O,5,'別紙2-1出動実績報告表'!$P:$P,1,'別紙2-1出動実績報告表'!$Q:$Q,2,'別紙2-1出動実績報告表'!$R:$R,1,'別紙2-1出動実績報告表'!$S:$S,6)</f>
        <v>0</v>
      </c>
      <c r="R35" s="95">
        <f>COUNTIFS('別紙2-1出動実績報告表'!$O:$O,9,'別紙2-1出動実績報告表'!$P:$P,9,'別紙2-1出動実績報告表'!$Q:$Q,2,'別紙2-1出動実績報告表'!$R:$R,1,'別紙2-1出動実績報告表'!$S:$S,6)</f>
        <v>0</v>
      </c>
      <c r="S35" s="95">
        <f>COUNTIFS('別紙2-1出動実績報告表'!$O:$O,0,'別紙2-1出動実績報告表'!$P:$P,0,'別紙2-1出動実績報告表'!$Q:$Q,2,'別紙2-1出動実績報告表'!$R:$R,1,'別紙2-1出動実績報告表'!$S:$S,6)</f>
        <v>0</v>
      </c>
      <c r="T35" s="95">
        <f t="shared" si="0"/>
        <v>0</v>
      </c>
      <c r="U35" s="96"/>
    </row>
    <row r="36" spans="1:21" ht="15" customHeight="1" x14ac:dyDescent="0.15">
      <c r="A36" s="97"/>
      <c r="B36" s="79" t="s">
        <v>199</v>
      </c>
      <c r="C36" s="94"/>
      <c r="D36" s="98" t="s">
        <v>162</v>
      </c>
      <c r="E36" s="95">
        <f>COUNTIFS('別紙2-1出動実績報告表'!$O:$O,1,'別紙2-1出動実績報告表'!$P:$P,1,'別紙2-1出動実績報告表'!$Q:$Q,2,'別紙2-1出動実績報告表'!$R:$R,1,'別紙2-1出動実績報告表'!$S:$S,9)</f>
        <v>0</v>
      </c>
      <c r="F36" s="95">
        <f>COUNTIFS('別紙2-1出動実績報告表'!$O:$O,1,'別紙2-1出動実績報告表'!$P:$P,2,'別紙2-1出動実績報告表'!$Q:$Q,2,'別紙2-1出動実績報告表'!$R:$R,1,'別紙2-1出動実績報告表'!$S:$S,9)</f>
        <v>0</v>
      </c>
      <c r="G36" s="95">
        <f>COUNTIFS('別紙2-1出動実績報告表'!$O:$O,1,'別紙2-1出動実績報告表'!$P:$P,3,'別紙2-1出動実績報告表'!$Q:$Q,2,'別紙2-1出動実績報告表'!$R:$R,1,'別紙2-1出動実績報告表'!$S:$S,9)</f>
        <v>0</v>
      </c>
      <c r="H36" s="95">
        <f>COUNTIFS('別紙2-1出動実績報告表'!$O:$O,2,'別紙2-1出動実績報告表'!$P:$P,1,'別紙2-1出動実績報告表'!$Q:$Q,2,'別紙2-1出動実績報告表'!$R:$R,1,'別紙2-1出動実績報告表'!$S:$S,9)</f>
        <v>0</v>
      </c>
      <c r="I36" s="95">
        <f>COUNTIFS('別紙2-1出動実績報告表'!$O:$O,2,'別紙2-1出動実績報告表'!$P:$P,2,'別紙2-1出動実績報告表'!$Q:$Q,2,'別紙2-1出動実績報告表'!$R:$R,1,'別紙2-1出動実績報告表'!$S:$S,9)</f>
        <v>0</v>
      </c>
      <c r="J36" s="95">
        <f>COUNTIFS('別紙2-1出動実績報告表'!$O:$O,3,'別紙2-1出動実績報告表'!$P:$P,1,'別紙2-1出動実績報告表'!$Q:$Q,2,'別紙2-1出動実績報告表'!$R:$R,1,'別紙2-1出動実績報告表'!$S:$S,9)</f>
        <v>0</v>
      </c>
      <c r="K36" s="95">
        <f>COUNTIFS('別紙2-1出動実績報告表'!$O:$O,3,'別紙2-1出動実績報告表'!$P:$P,2,'別紙2-1出動実績報告表'!$Q:$Q,2,'別紙2-1出動実績報告表'!$R:$R,1,'別紙2-1出動実績報告表'!$S:$S,9)</f>
        <v>0</v>
      </c>
      <c r="L36" s="95">
        <f>COUNTIFS('別紙2-1出動実績報告表'!$O:$O,3,'別紙2-1出動実績報告表'!$P:$P,3,'別紙2-1出動実績報告表'!$Q:$Q,2,'別紙2-1出動実績報告表'!$R:$R,1,'別紙2-1出動実績報告表'!$S:$S,9)</f>
        <v>0</v>
      </c>
      <c r="M36" s="95">
        <f>COUNTIFS('別紙2-1出動実績報告表'!$O:$O,4,'別紙2-1出動実績報告表'!$P:$P,1,'別紙2-1出動実績報告表'!$Q:$Q,2,'別紙2-1出動実績報告表'!$R:$R,1,'別紙2-1出動実績報告表'!$S:$S,9)</f>
        <v>0</v>
      </c>
      <c r="N36" s="95">
        <f>COUNTIFS('別紙2-1出動実績報告表'!$O:$O,4,'別紙2-1出動実績報告表'!$P:$P,2,'別紙2-1出動実績報告表'!$Q:$Q,2,'別紙2-1出動実績報告表'!$R:$R,1,'別紙2-1出動実績報告表'!$S:$S,9)</f>
        <v>0</v>
      </c>
      <c r="O36" s="95">
        <f>COUNTIFS('別紙2-1出動実績報告表'!$O:$O,4,'別紙2-1出動実績報告表'!$P:$P,3,'別紙2-1出動実績報告表'!$Q:$Q,2,'別紙2-1出動実績報告表'!$R:$R,1,'別紙2-1出動実績報告表'!$S:$S,9)</f>
        <v>0</v>
      </c>
      <c r="P36" s="95">
        <f>COUNTIFS('別紙2-1出動実績報告表'!$O:$O,4,'別紙2-1出動実績報告表'!$P:$P,4,'別紙2-1出動実績報告表'!$Q:$Q,2,'別紙2-1出動実績報告表'!$R:$R,1,'別紙2-1出動実績報告表'!$S:$S,9)</f>
        <v>0</v>
      </c>
      <c r="Q36" s="95">
        <f>COUNTIFS('別紙2-1出動実績報告表'!$O:$O,5,'別紙2-1出動実績報告表'!$P:$P,1,'別紙2-1出動実績報告表'!$Q:$Q,2,'別紙2-1出動実績報告表'!$R:$R,1,'別紙2-1出動実績報告表'!$S:$S,9)</f>
        <v>0</v>
      </c>
      <c r="R36" s="95">
        <f>COUNTIFS('別紙2-1出動実績報告表'!$O:$O,9,'別紙2-1出動実績報告表'!$P:$P,9,'別紙2-1出動実績報告表'!$Q:$Q,2,'別紙2-1出動実績報告表'!$R:$R,1,'別紙2-1出動実績報告表'!$S:$S,9)</f>
        <v>0</v>
      </c>
      <c r="S36" s="95">
        <f>COUNTIFS('別紙2-1出動実績報告表'!$O:$O,0,'別紙2-1出動実績報告表'!$P:$P,0,'別紙2-1出動実績報告表'!$Q:$Q,2,'別紙2-1出動実績報告表'!$R:$R,1,'別紙2-1出動実績報告表'!$S:$S,9)</f>
        <v>0</v>
      </c>
      <c r="T36" s="95">
        <f t="shared" si="0"/>
        <v>0</v>
      </c>
      <c r="U36" s="96"/>
    </row>
    <row r="37" spans="1:21" ht="15" customHeight="1" x14ac:dyDescent="0.15">
      <c r="A37" s="97"/>
      <c r="B37" s="79" t="s">
        <v>200</v>
      </c>
      <c r="C37" s="99"/>
      <c r="D37" s="98" t="s">
        <v>201</v>
      </c>
      <c r="E37" s="95">
        <f>COUNTIFS('別紙2-1出動実績報告表'!$O:$O,1,'別紙2-1出動実績報告表'!$P:$P,1,'別紙2-1出動実績報告表'!$Q:$Q,2,'別紙2-1出動実績報告表'!$R:$R,9,'別紙2-1出動実績報告表'!$S:$S,1)</f>
        <v>0</v>
      </c>
      <c r="F37" s="95">
        <f>COUNTIFS('別紙2-1出動実績報告表'!$O:$O,1,'別紙2-1出動実績報告表'!$P:$P,2,'別紙2-1出動実績報告表'!$Q:$Q,2,'別紙2-1出動実績報告表'!$R:$R,9,'別紙2-1出動実績報告表'!$S:$S,1)</f>
        <v>0</v>
      </c>
      <c r="G37" s="95">
        <f>COUNTIFS('別紙2-1出動実績報告表'!$O:$O,1,'別紙2-1出動実績報告表'!$P:$P,3,'別紙2-1出動実績報告表'!$Q:$Q,2,'別紙2-1出動実績報告表'!$R:$R,9,'別紙2-1出動実績報告表'!$S:$S,1)</f>
        <v>0</v>
      </c>
      <c r="H37" s="95">
        <f>COUNTIFS('別紙2-1出動実績報告表'!$O:$O,2,'別紙2-1出動実績報告表'!$P:$P,1,'別紙2-1出動実績報告表'!$Q:$Q,2,'別紙2-1出動実績報告表'!$R:$R,9,'別紙2-1出動実績報告表'!$S:$S,1)</f>
        <v>0</v>
      </c>
      <c r="I37" s="95">
        <f>COUNTIFS('別紙2-1出動実績報告表'!$O:$O,2,'別紙2-1出動実績報告表'!$P:$P,2,'別紙2-1出動実績報告表'!$Q:$Q,2,'別紙2-1出動実績報告表'!$R:$R,9,'別紙2-1出動実績報告表'!$S:$S,1)</f>
        <v>0</v>
      </c>
      <c r="J37" s="95">
        <f>COUNTIFS('別紙2-1出動実績報告表'!$O:$O,3,'別紙2-1出動実績報告表'!$P:$P,1,'別紙2-1出動実績報告表'!$Q:$Q,2,'別紙2-1出動実績報告表'!$R:$R,9,'別紙2-1出動実績報告表'!$S:$S,1)</f>
        <v>0</v>
      </c>
      <c r="K37" s="95">
        <f>COUNTIFS('別紙2-1出動実績報告表'!$O:$O,3,'別紙2-1出動実績報告表'!$P:$P,2,'別紙2-1出動実績報告表'!$Q:$Q,2,'別紙2-1出動実績報告表'!$R:$R,9,'別紙2-1出動実績報告表'!$S:$S,1)</f>
        <v>0</v>
      </c>
      <c r="L37" s="95">
        <f>COUNTIFS('別紙2-1出動実績報告表'!$O:$O,3,'別紙2-1出動実績報告表'!$P:$P,3,'別紙2-1出動実績報告表'!$Q:$Q,2,'別紙2-1出動実績報告表'!$R:$R,9,'別紙2-1出動実績報告表'!$S:$S,1)</f>
        <v>0</v>
      </c>
      <c r="M37" s="95">
        <f>COUNTIFS('別紙2-1出動実績報告表'!$O:$O,4,'別紙2-1出動実績報告表'!$P:$P,1,'別紙2-1出動実績報告表'!$Q:$Q,2,'別紙2-1出動実績報告表'!$R:$R,9,'別紙2-1出動実績報告表'!$S:$S,1)</f>
        <v>0</v>
      </c>
      <c r="N37" s="95">
        <f>COUNTIFS('別紙2-1出動実績報告表'!$O:$O,4,'別紙2-1出動実績報告表'!$P:$P,2,'別紙2-1出動実績報告表'!$Q:$Q,2,'別紙2-1出動実績報告表'!$R:$R,9,'別紙2-1出動実績報告表'!$S:$S,1)</f>
        <v>0</v>
      </c>
      <c r="O37" s="95">
        <f>COUNTIFS('別紙2-1出動実績報告表'!$O:$O,4,'別紙2-1出動実績報告表'!$P:$P,3,'別紙2-1出動実績報告表'!$Q:$Q,2,'別紙2-1出動実績報告表'!$R:$R,9,'別紙2-1出動実績報告表'!$S:$S,1)</f>
        <v>0</v>
      </c>
      <c r="P37" s="95">
        <f>COUNTIFS('別紙2-1出動実績報告表'!$O:$O,4,'別紙2-1出動実績報告表'!$P:$P,4,'別紙2-1出動実績報告表'!$Q:$Q,2,'別紙2-1出動実績報告表'!$R:$R,9,'別紙2-1出動実績報告表'!$S:$S,1)</f>
        <v>0</v>
      </c>
      <c r="Q37" s="95">
        <f>COUNTIFS('別紙2-1出動実績報告表'!$O:$O,5,'別紙2-1出動実績報告表'!$P:$P,1,'別紙2-1出動実績報告表'!$Q:$Q,2,'別紙2-1出動実績報告表'!$R:$R,9,'別紙2-1出動実績報告表'!$S:$S,1)</f>
        <v>0</v>
      </c>
      <c r="R37" s="95">
        <f>COUNTIFS('別紙2-1出動実績報告表'!$O:$O,9,'別紙2-1出動実績報告表'!$P:$P,9,'別紙2-1出動実績報告表'!$Q:$Q,2,'別紙2-1出動実績報告表'!$R:$R,9,'別紙2-1出動実績報告表'!$S:$S,1)</f>
        <v>0</v>
      </c>
      <c r="S37" s="95">
        <f>COUNTIFS('別紙2-1出動実績報告表'!$O:$O,0,'別紙2-1出動実績報告表'!$P:$P,0,'別紙2-1出動実績報告表'!$Q:$Q,2,'別紙2-1出動実績報告表'!$R:$R,9,'別紙2-1出動実績報告表'!$S:$S,1)</f>
        <v>0</v>
      </c>
      <c r="T37" s="95">
        <f t="shared" si="0"/>
        <v>0</v>
      </c>
      <c r="U37" s="96"/>
    </row>
    <row r="38" spans="1:21" ht="15" customHeight="1" x14ac:dyDescent="0.15">
      <c r="A38" s="97"/>
      <c r="B38" s="79" t="s">
        <v>147</v>
      </c>
      <c r="C38" s="93" t="s">
        <v>129</v>
      </c>
      <c r="D38" s="98" t="s">
        <v>202</v>
      </c>
      <c r="E38" s="95">
        <f>COUNTIFS('別紙2-1出動実績報告表'!$O:$O,1,'別紙2-1出動実績報告表'!$P:$P,1,'別紙2-1出動実績報告表'!$Q:$Q,2,'別紙2-1出動実績報告表'!$R:$R,9,'別紙2-1出動実績報告表'!$S:$S,2)</f>
        <v>0</v>
      </c>
      <c r="F38" s="95">
        <f>COUNTIFS('別紙2-1出動実績報告表'!$O:$O,1,'別紙2-1出動実績報告表'!$P:$P,2,'別紙2-1出動実績報告表'!$Q:$Q,2,'別紙2-1出動実績報告表'!$R:$R,9,'別紙2-1出動実績報告表'!$S:$S,2)</f>
        <v>0</v>
      </c>
      <c r="G38" s="95">
        <f>COUNTIFS('別紙2-1出動実績報告表'!$O:$O,1,'別紙2-1出動実績報告表'!$P:$P,3,'別紙2-1出動実績報告表'!$Q:$Q,2,'別紙2-1出動実績報告表'!$R:$R,9,'別紙2-1出動実績報告表'!$S:$S,2)</f>
        <v>0</v>
      </c>
      <c r="H38" s="95">
        <f>COUNTIFS('別紙2-1出動実績報告表'!$O:$O,2,'別紙2-1出動実績報告表'!$P:$P,1,'別紙2-1出動実績報告表'!$Q:$Q,2,'別紙2-1出動実績報告表'!$R:$R,9,'別紙2-1出動実績報告表'!$S:$S,2)</f>
        <v>0</v>
      </c>
      <c r="I38" s="95">
        <f>COUNTIFS('別紙2-1出動実績報告表'!$O:$O,2,'別紙2-1出動実績報告表'!$P:$P,2,'別紙2-1出動実績報告表'!$Q:$Q,2,'別紙2-1出動実績報告表'!$R:$R,9,'別紙2-1出動実績報告表'!$S:$S,2)</f>
        <v>0</v>
      </c>
      <c r="J38" s="95">
        <f>COUNTIFS('別紙2-1出動実績報告表'!$O:$O,3,'別紙2-1出動実績報告表'!$P:$P,1,'別紙2-1出動実績報告表'!$Q:$Q,2,'別紙2-1出動実績報告表'!$R:$R,9,'別紙2-1出動実績報告表'!$S:$S,2)</f>
        <v>0</v>
      </c>
      <c r="K38" s="95">
        <f>COUNTIFS('別紙2-1出動実績報告表'!$O:$O,3,'別紙2-1出動実績報告表'!$P:$P,2,'別紙2-1出動実績報告表'!$Q:$Q,2,'別紙2-1出動実績報告表'!$R:$R,9,'別紙2-1出動実績報告表'!$S:$S,2)</f>
        <v>0</v>
      </c>
      <c r="L38" s="95">
        <f>COUNTIFS('別紙2-1出動実績報告表'!$O:$O,3,'別紙2-1出動実績報告表'!$P:$P,3,'別紙2-1出動実績報告表'!$Q:$Q,2,'別紙2-1出動実績報告表'!$R:$R,9,'別紙2-1出動実績報告表'!$S:$S,2)</f>
        <v>0</v>
      </c>
      <c r="M38" s="95">
        <f>COUNTIFS('別紙2-1出動実績報告表'!$O:$O,4,'別紙2-1出動実績報告表'!$P:$P,1,'別紙2-1出動実績報告表'!$Q:$Q,2,'別紙2-1出動実績報告表'!$R:$R,9,'別紙2-1出動実績報告表'!$S:$S,2)</f>
        <v>0</v>
      </c>
      <c r="N38" s="95">
        <f>COUNTIFS('別紙2-1出動実績報告表'!$O:$O,4,'別紙2-1出動実績報告表'!$P:$P,2,'別紙2-1出動実績報告表'!$Q:$Q,2,'別紙2-1出動実績報告表'!$R:$R,9,'別紙2-1出動実績報告表'!$S:$S,2)</f>
        <v>0</v>
      </c>
      <c r="O38" s="95">
        <f>COUNTIFS('別紙2-1出動実績報告表'!$O:$O,4,'別紙2-1出動実績報告表'!$P:$P,3,'別紙2-1出動実績報告表'!$Q:$Q,2,'別紙2-1出動実績報告表'!$R:$R,9,'別紙2-1出動実績報告表'!$S:$S,2)</f>
        <v>0</v>
      </c>
      <c r="P38" s="95">
        <f>COUNTIFS('別紙2-1出動実績報告表'!$O:$O,4,'別紙2-1出動実績報告表'!$P:$P,4,'別紙2-1出動実績報告表'!$Q:$Q,2,'別紙2-1出動実績報告表'!$R:$R,9,'別紙2-1出動実績報告表'!$S:$S,2)</f>
        <v>0</v>
      </c>
      <c r="Q38" s="95">
        <f>COUNTIFS('別紙2-1出動実績報告表'!$O:$O,5,'別紙2-1出動実績報告表'!$P:$P,1,'別紙2-1出動実績報告表'!$Q:$Q,2,'別紙2-1出動実績報告表'!$R:$R,9,'別紙2-1出動実績報告表'!$S:$S,2)</f>
        <v>0</v>
      </c>
      <c r="R38" s="95">
        <f>COUNTIFS('別紙2-1出動実績報告表'!$O:$O,9,'別紙2-1出動実績報告表'!$P:$P,9,'別紙2-1出動実績報告表'!$Q:$Q,2,'別紙2-1出動実績報告表'!$R:$R,9,'別紙2-1出動実績報告表'!$S:$S,2)</f>
        <v>0</v>
      </c>
      <c r="S38" s="95">
        <f>COUNTIFS('別紙2-1出動実績報告表'!$O:$O,0,'別紙2-1出動実績報告表'!$P:$P,0,'別紙2-1出動実績報告表'!$Q:$Q,2,'別紙2-1出動実績報告表'!$R:$R,9,'別紙2-1出動実績報告表'!$S:$S,2)</f>
        <v>0</v>
      </c>
      <c r="T38" s="95">
        <f t="shared" si="0"/>
        <v>0</v>
      </c>
      <c r="U38" s="96"/>
    </row>
    <row r="39" spans="1:21" ht="15" customHeight="1" x14ac:dyDescent="0.15">
      <c r="A39" s="97"/>
      <c r="B39" s="79" t="s">
        <v>203</v>
      </c>
      <c r="C39" s="93" t="s">
        <v>135</v>
      </c>
      <c r="D39" s="98" t="s">
        <v>204</v>
      </c>
      <c r="E39" s="95">
        <f>COUNTIFS('別紙2-1出動実績報告表'!$O:$O,1,'別紙2-1出動実績報告表'!$P:$P,1,'別紙2-1出動実績報告表'!$Q:$Q,2,'別紙2-1出動実績報告表'!$R:$R,9,'別紙2-1出動実績報告表'!$S:$S,3)</f>
        <v>0</v>
      </c>
      <c r="F39" s="95">
        <f>COUNTIFS('別紙2-1出動実績報告表'!$O:$O,1,'別紙2-1出動実績報告表'!$P:$P,2,'別紙2-1出動実績報告表'!$Q:$Q,2,'別紙2-1出動実績報告表'!$R:$R,9,'別紙2-1出動実績報告表'!$S:$S,3)</f>
        <v>0</v>
      </c>
      <c r="G39" s="95">
        <f>COUNTIFS('別紙2-1出動実績報告表'!$O:$O,1,'別紙2-1出動実績報告表'!$P:$P,3,'別紙2-1出動実績報告表'!$Q:$Q,2,'別紙2-1出動実績報告表'!$R:$R,9,'別紙2-1出動実績報告表'!$S:$S,3)</f>
        <v>0</v>
      </c>
      <c r="H39" s="95">
        <f>COUNTIFS('別紙2-1出動実績報告表'!$O:$O,2,'別紙2-1出動実績報告表'!$P:$P,1,'別紙2-1出動実績報告表'!$Q:$Q,2,'別紙2-1出動実績報告表'!$R:$R,9,'別紙2-1出動実績報告表'!$S:$S,3)</f>
        <v>0</v>
      </c>
      <c r="I39" s="95">
        <f>COUNTIFS('別紙2-1出動実績報告表'!$O:$O,2,'別紙2-1出動実績報告表'!$P:$P,2,'別紙2-1出動実績報告表'!$Q:$Q,2,'別紙2-1出動実績報告表'!$R:$R,9,'別紙2-1出動実績報告表'!$S:$S,3)</f>
        <v>0</v>
      </c>
      <c r="J39" s="95">
        <f>COUNTIFS('別紙2-1出動実績報告表'!$O:$O,3,'別紙2-1出動実績報告表'!$P:$P,1,'別紙2-1出動実績報告表'!$Q:$Q,2,'別紙2-1出動実績報告表'!$R:$R,9,'別紙2-1出動実績報告表'!$S:$S,3)</f>
        <v>0</v>
      </c>
      <c r="K39" s="95">
        <f>COUNTIFS('別紙2-1出動実績報告表'!$O:$O,3,'別紙2-1出動実績報告表'!$P:$P,2,'別紙2-1出動実績報告表'!$Q:$Q,2,'別紙2-1出動実績報告表'!$R:$R,9,'別紙2-1出動実績報告表'!$S:$S,3)</f>
        <v>0</v>
      </c>
      <c r="L39" s="95">
        <f>COUNTIFS('別紙2-1出動実績報告表'!$O:$O,3,'別紙2-1出動実績報告表'!$P:$P,3,'別紙2-1出動実績報告表'!$Q:$Q,2,'別紙2-1出動実績報告表'!$R:$R,9,'別紙2-1出動実績報告表'!$S:$S,3)</f>
        <v>0</v>
      </c>
      <c r="M39" s="95">
        <f>COUNTIFS('別紙2-1出動実績報告表'!$O:$O,4,'別紙2-1出動実績報告表'!$P:$P,1,'別紙2-1出動実績報告表'!$Q:$Q,2,'別紙2-1出動実績報告表'!$R:$R,9,'別紙2-1出動実績報告表'!$S:$S,3)</f>
        <v>0</v>
      </c>
      <c r="N39" s="95">
        <f>COUNTIFS('別紙2-1出動実績報告表'!$O:$O,4,'別紙2-1出動実績報告表'!$P:$P,2,'別紙2-1出動実績報告表'!$Q:$Q,2,'別紙2-1出動実績報告表'!$R:$R,9,'別紙2-1出動実績報告表'!$S:$S,3)</f>
        <v>0</v>
      </c>
      <c r="O39" s="95">
        <f>COUNTIFS('別紙2-1出動実績報告表'!$O:$O,4,'別紙2-1出動実績報告表'!$P:$P,3,'別紙2-1出動実績報告表'!$Q:$Q,2,'別紙2-1出動実績報告表'!$R:$R,9,'別紙2-1出動実績報告表'!$S:$S,3)</f>
        <v>0</v>
      </c>
      <c r="P39" s="95">
        <f>COUNTIFS('別紙2-1出動実績報告表'!$O:$O,4,'別紙2-1出動実績報告表'!$P:$P,4,'別紙2-1出動実績報告表'!$Q:$Q,2,'別紙2-1出動実績報告表'!$R:$R,9,'別紙2-1出動実績報告表'!$S:$S,3)</f>
        <v>0</v>
      </c>
      <c r="Q39" s="95">
        <f>COUNTIFS('別紙2-1出動実績報告表'!$O:$O,5,'別紙2-1出動実績報告表'!$P:$P,1,'別紙2-1出動実績報告表'!$Q:$Q,2,'別紙2-1出動実績報告表'!$R:$R,9,'別紙2-1出動実績報告表'!$S:$S,3)</f>
        <v>0</v>
      </c>
      <c r="R39" s="95">
        <f>COUNTIFS('別紙2-1出動実績報告表'!$O:$O,9,'別紙2-1出動実績報告表'!$P:$P,9,'別紙2-1出動実績報告表'!$Q:$Q,2,'別紙2-1出動実績報告表'!$R:$R,9,'別紙2-1出動実績報告表'!$S:$S,3)</f>
        <v>0</v>
      </c>
      <c r="S39" s="95">
        <f>COUNTIFS('別紙2-1出動実績報告表'!$O:$O,0,'別紙2-1出動実績報告表'!$P:$P,0,'別紙2-1出動実績報告表'!$Q:$Q,2,'別紙2-1出動実績報告表'!$R:$R,9,'別紙2-1出動実績報告表'!$S:$S,3)</f>
        <v>0</v>
      </c>
      <c r="T39" s="95">
        <f t="shared" si="0"/>
        <v>0</v>
      </c>
      <c r="U39" s="96"/>
    </row>
    <row r="40" spans="1:21" ht="15" customHeight="1" x14ac:dyDescent="0.15">
      <c r="A40" s="97"/>
      <c r="B40" s="79"/>
      <c r="C40" s="93" t="s">
        <v>150</v>
      </c>
      <c r="D40" s="98" t="s">
        <v>205</v>
      </c>
      <c r="E40" s="95">
        <f>COUNTIFS('別紙2-1出動実績報告表'!$O:$O,1,'別紙2-1出動実績報告表'!$P:$P,1,'別紙2-1出動実績報告表'!$Q:$Q,2,'別紙2-1出動実績報告表'!$R:$R,9,'別紙2-1出動実績報告表'!$S:$S,4)</f>
        <v>0</v>
      </c>
      <c r="F40" s="95">
        <f>COUNTIFS('別紙2-1出動実績報告表'!$O:$O,1,'別紙2-1出動実績報告表'!$P:$P,2,'別紙2-1出動実績報告表'!$Q:$Q,2,'別紙2-1出動実績報告表'!$R:$R,9,'別紙2-1出動実績報告表'!$S:$S,4)</f>
        <v>0</v>
      </c>
      <c r="G40" s="95">
        <f>COUNTIFS('別紙2-1出動実績報告表'!$O:$O,1,'別紙2-1出動実績報告表'!$P:$P,3,'別紙2-1出動実績報告表'!$Q:$Q,2,'別紙2-1出動実績報告表'!$R:$R,9,'別紙2-1出動実績報告表'!$S:$S,4)</f>
        <v>0</v>
      </c>
      <c r="H40" s="95">
        <f>COUNTIFS('別紙2-1出動実績報告表'!$O:$O,2,'別紙2-1出動実績報告表'!$P:$P,1,'別紙2-1出動実績報告表'!$Q:$Q,2,'別紙2-1出動実績報告表'!$R:$R,9,'別紙2-1出動実績報告表'!$S:$S,4)</f>
        <v>0</v>
      </c>
      <c r="I40" s="95">
        <f>COUNTIFS('別紙2-1出動実績報告表'!$O:$O,2,'別紙2-1出動実績報告表'!$P:$P,2,'別紙2-1出動実績報告表'!$Q:$Q,2,'別紙2-1出動実績報告表'!$R:$R,9,'別紙2-1出動実績報告表'!$S:$S,4)</f>
        <v>0</v>
      </c>
      <c r="J40" s="95">
        <f>COUNTIFS('別紙2-1出動実績報告表'!$O:$O,3,'別紙2-1出動実績報告表'!$P:$P,1,'別紙2-1出動実績報告表'!$Q:$Q,2,'別紙2-1出動実績報告表'!$R:$R,9,'別紙2-1出動実績報告表'!$S:$S,4)</f>
        <v>0</v>
      </c>
      <c r="K40" s="95">
        <f>COUNTIFS('別紙2-1出動実績報告表'!$O:$O,3,'別紙2-1出動実績報告表'!$P:$P,2,'別紙2-1出動実績報告表'!$Q:$Q,2,'別紙2-1出動実績報告表'!$R:$R,9,'別紙2-1出動実績報告表'!$S:$S,4)</f>
        <v>0</v>
      </c>
      <c r="L40" s="95">
        <f>COUNTIFS('別紙2-1出動実績報告表'!$O:$O,3,'別紙2-1出動実績報告表'!$P:$P,3,'別紙2-1出動実績報告表'!$Q:$Q,2,'別紙2-1出動実績報告表'!$R:$R,9,'別紙2-1出動実績報告表'!$S:$S,4)</f>
        <v>0</v>
      </c>
      <c r="M40" s="95">
        <f>COUNTIFS('別紙2-1出動実績報告表'!$O:$O,4,'別紙2-1出動実績報告表'!$P:$P,1,'別紙2-1出動実績報告表'!$Q:$Q,2,'別紙2-1出動実績報告表'!$R:$R,9,'別紙2-1出動実績報告表'!$S:$S,4)</f>
        <v>0</v>
      </c>
      <c r="N40" s="95">
        <f>COUNTIFS('別紙2-1出動実績報告表'!$O:$O,4,'別紙2-1出動実績報告表'!$P:$P,2,'別紙2-1出動実績報告表'!$Q:$Q,2,'別紙2-1出動実績報告表'!$R:$R,9,'別紙2-1出動実績報告表'!$S:$S,4)</f>
        <v>0</v>
      </c>
      <c r="O40" s="95">
        <f>COUNTIFS('別紙2-1出動実績報告表'!$O:$O,4,'別紙2-1出動実績報告表'!$P:$P,3,'別紙2-1出動実績報告表'!$Q:$Q,2,'別紙2-1出動実績報告表'!$R:$R,9,'別紙2-1出動実績報告表'!$S:$S,4)</f>
        <v>0</v>
      </c>
      <c r="P40" s="95">
        <f>COUNTIFS('別紙2-1出動実績報告表'!$O:$O,4,'別紙2-1出動実績報告表'!$P:$P,4,'別紙2-1出動実績報告表'!$Q:$Q,2,'別紙2-1出動実績報告表'!$R:$R,9,'別紙2-1出動実績報告表'!$S:$S,4)</f>
        <v>0</v>
      </c>
      <c r="Q40" s="95">
        <f>COUNTIFS('別紙2-1出動実績報告表'!$O:$O,5,'別紙2-1出動実績報告表'!$P:$P,1,'別紙2-1出動実績報告表'!$Q:$Q,2,'別紙2-1出動実績報告表'!$R:$R,9,'別紙2-1出動実績報告表'!$S:$S,4)</f>
        <v>0</v>
      </c>
      <c r="R40" s="95">
        <f>COUNTIFS('別紙2-1出動実績報告表'!$O:$O,9,'別紙2-1出動実績報告表'!$P:$P,9,'別紙2-1出動実績報告表'!$Q:$Q,2,'別紙2-1出動実績報告表'!$R:$R,9,'別紙2-1出動実績報告表'!$S:$S,4)</f>
        <v>0</v>
      </c>
      <c r="S40" s="95">
        <f>COUNTIFS('別紙2-1出動実績報告表'!$O:$O,0,'別紙2-1出動実績報告表'!$P:$P,0,'別紙2-1出動実績報告表'!$Q:$Q,2,'別紙2-1出動実績報告表'!$R:$R,9,'別紙2-1出動実績報告表'!$S:$S,4)</f>
        <v>0</v>
      </c>
      <c r="T40" s="95">
        <f t="shared" si="0"/>
        <v>0</v>
      </c>
      <c r="U40" s="96"/>
    </row>
    <row r="41" spans="1:21" ht="15" customHeight="1" x14ac:dyDescent="0.15">
      <c r="A41" s="97"/>
      <c r="B41" s="90"/>
      <c r="C41" s="94"/>
      <c r="D41" s="98" t="s">
        <v>162</v>
      </c>
      <c r="E41" s="95">
        <f>COUNTIFS('別紙2-1出動実績報告表'!$O:$O,1,'別紙2-1出動実績報告表'!$P:$P,1,'別紙2-1出動実績報告表'!$Q:$Q,2,'別紙2-1出動実績報告表'!$R:$R,9,'別紙2-1出動実績報告表'!$S:$S,9)</f>
        <v>0</v>
      </c>
      <c r="F41" s="95">
        <f>COUNTIFS('別紙2-1出動実績報告表'!$O:$O,1,'別紙2-1出動実績報告表'!$P:$P,2,'別紙2-1出動実績報告表'!$Q:$Q,2,'別紙2-1出動実績報告表'!$R:$R,9,'別紙2-1出動実績報告表'!$S:$S,9)</f>
        <v>0</v>
      </c>
      <c r="G41" s="95">
        <f>COUNTIFS('別紙2-1出動実績報告表'!$O:$O,1,'別紙2-1出動実績報告表'!$P:$P,3,'別紙2-1出動実績報告表'!$Q:$Q,2,'別紙2-1出動実績報告表'!$R:$R,9,'別紙2-1出動実績報告表'!$S:$S,9)</f>
        <v>0</v>
      </c>
      <c r="H41" s="95">
        <f>COUNTIFS('別紙2-1出動実績報告表'!$O:$O,2,'別紙2-1出動実績報告表'!$P:$P,1,'別紙2-1出動実績報告表'!$Q:$Q,2,'別紙2-1出動実績報告表'!$R:$R,9,'別紙2-1出動実績報告表'!$S:$S,9)</f>
        <v>0</v>
      </c>
      <c r="I41" s="95">
        <f>COUNTIFS('別紙2-1出動実績報告表'!$O:$O,2,'別紙2-1出動実績報告表'!$P:$P,2,'別紙2-1出動実績報告表'!$Q:$Q,2,'別紙2-1出動実績報告表'!$R:$R,9,'別紙2-1出動実績報告表'!$S:$S,9)</f>
        <v>0</v>
      </c>
      <c r="J41" s="95">
        <f>COUNTIFS('別紙2-1出動実績報告表'!$O:$O,3,'別紙2-1出動実績報告表'!$P:$P,1,'別紙2-1出動実績報告表'!$Q:$Q,2,'別紙2-1出動実績報告表'!$R:$R,9,'別紙2-1出動実績報告表'!$S:$S,9)</f>
        <v>0</v>
      </c>
      <c r="K41" s="95">
        <f>COUNTIFS('別紙2-1出動実績報告表'!$O:$O,3,'別紙2-1出動実績報告表'!$P:$P,2,'別紙2-1出動実績報告表'!$Q:$Q,2,'別紙2-1出動実績報告表'!$R:$R,9,'別紙2-1出動実績報告表'!$S:$S,9)</f>
        <v>0</v>
      </c>
      <c r="L41" s="95">
        <f>COUNTIFS('別紙2-1出動実績報告表'!$O:$O,3,'別紙2-1出動実績報告表'!$P:$P,3,'別紙2-1出動実績報告表'!$Q:$Q,2,'別紙2-1出動実績報告表'!$R:$R,9,'別紙2-1出動実績報告表'!$S:$S,9)</f>
        <v>0</v>
      </c>
      <c r="M41" s="95">
        <f>COUNTIFS('別紙2-1出動実績報告表'!$O:$O,4,'別紙2-1出動実績報告表'!$P:$P,1,'別紙2-1出動実績報告表'!$Q:$Q,2,'別紙2-1出動実績報告表'!$R:$R,9,'別紙2-1出動実績報告表'!$S:$S,9)</f>
        <v>0</v>
      </c>
      <c r="N41" s="95">
        <f>COUNTIFS('別紙2-1出動実績報告表'!$O:$O,4,'別紙2-1出動実績報告表'!$P:$P,2,'別紙2-1出動実績報告表'!$Q:$Q,2,'別紙2-1出動実績報告表'!$R:$R,9,'別紙2-1出動実績報告表'!$S:$S,9)</f>
        <v>0</v>
      </c>
      <c r="O41" s="95">
        <f>COUNTIFS('別紙2-1出動実績報告表'!$O:$O,4,'別紙2-1出動実績報告表'!$P:$P,3,'別紙2-1出動実績報告表'!$Q:$Q,2,'別紙2-1出動実績報告表'!$R:$R,9,'別紙2-1出動実績報告表'!$S:$S,9)</f>
        <v>0</v>
      </c>
      <c r="P41" s="95">
        <f>COUNTIFS('別紙2-1出動実績報告表'!$O:$O,4,'別紙2-1出動実績報告表'!$P:$P,4,'別紙2-1出動実績報告表'!$Q:$Q,2,'別紙2-1出動実績報告表'!$R:$R,9,'別紙2-1出動実績報告表'!$S:$S,9)</f>
        <v>0</v>
      </c>
      <c r="Q41" s="95">
        <f>COUNTIFS('別紙2-1出動実績報告表'!$O:$O,5,'別紙2-1出動実績報告表'!$P:$P,1,'別紙2-1出動実績報告表'!$Q:$Q,2,'別紙2-1出動実績報告表'!$R:$R,9,'別紙2-1出動実績報告表'!$S:$S,9)</f>
        <v>0</v>
      </c>
      <c r="R41" s="95">
        <f>COUNTIFS('別紙2-1出動実績報告表'!$O:$O,9,'別紙2-1出動実績報告表'!$P:$P,9,'別紙2-1出動実績報告表'!$Q:$Q,2,'別紙2-1出動実績報告表'!$R:$R,9,'別紙2-1出動実績報告表'!$S:$S,9)</f>
        <v>0</v>
      </c>
      <c r="S41" s="95">
        <f>COUNTIFS('別紙2-1出動実績報告表'!$O:$O,0,'別紙2-1出動実績報告表'!$P:$P,0,'別紙2-1出動実績報告表'!$Q:$Q,2,'別紙2-1出動実績報告表'!$R:$R,9,'別紙2-1出動実績報告表'!$S:$S,9)</f>
        <v>0</v>
      </c>
      <c r="T41" s="95">
        <f t="shared" si="0"/>
        <v>0</v>
      </c>
      <c r="U41" s="96"/>
    </row>
    <row r="42" spans="1:21" ht="15" customHeight="1" x14ac:dyDescent="0.15">
      <c r="A42" s="97"/>
      <c r="B42" s="141" t="s">
        <v>206</v>
      </c>
      <c r="C42" s="142"/>
      <c r="D42" s="98" t="s">
        <v>136</v>
      </c>
      <c r="E42" s="95">
        <f>SUM(E11:E41)</f>
        <v>0</v>
      </c>
      <c r="F42" s="95">
        <f>SUM(F11:F41)</f>
        <v>0</v>
      </c>
      <c r="G42" s="95">
        <f t="shared" ref="G42:S42" si="1">SUM(G11:G41)</f>
        <v>0</v>
      </c>
      <c r="H42" s="95">
        <f t="shared" si="1"/>
        <v>0</v>
      </c>
      <c r="I42" s="95">
        <f t="shared" si="1"/>
        <v>0</v>
      </c>
      <c r="J42" s="95">
        <f t="shared" si="1"/>
        <v>0</v>
      </c>
      <c r="K42" s="95">
        <f t="shared" si="1"/>
        <v>0</v>
      </c>
      <c r="L42" s="95">
        <f t="shared" si="1"/>
        <v>0</v>
      </c>
      <c r="M42" s="95">
        <f t="shared" si="1"/>
        <v>0</v>
      </c>
      <c r="N42" s="95">
        <f t="shared" si="1"/>
        <v>0</v>
      </c>
      <c r="O42" s="95">
        <f t="shared" si="1"/>
        <v>0</v>
      </c>
      <c r="P42" s="95">
        <f t="shared" si="1"/>
        <v>0</v>
      </c>
      <c r="Q42" s="95">
        <f t="shared" si="1"/>
        <v>0</v>
      </c>
      <c r="R42" s="95">
        <f t="shared" si="1"/>
        <v>0</v>
      </c>
      <c r="S42" s="95">
        <f t="shared" si="1"/>
        <v>0</v>
      </c>
      <c r="T42" s="95">
        <f>SUM(E42:S42)</f>
        <v>0</v>
      </c>
      <c r="U42" s="96"/>
    </row>
    <row r="43" spans="1:21" ht="15" customHeight="1" thickBot="1" x14ac:dyDescent="0.2">
      <c r="A43" s="103"/>
      <c r="B43" s="104"/>
      <c r="C43" s="105"/>
      <c r="D43" s="106" t="s">
        <v>207</v>
      </c>
      <c r="E43" s="107"/>
      <c r="F43" s="107"/>
      <c r="G43" s="107"/>
      <c r="H43" s="107"/>
      <c r="I43" s="107"/>
      <c r="J43" s="107"/>
      <c r="K43" s="107"/>
      <c r="L43" s="107"/>
      <c r="M43" s="107"/>
      <c r="N43" s="107"/>
      <c r="O43" s="107"/>
      <c r="P43" s="107"/>
      <c r="Q43" s="107"/>
      <c r="R43" s="107"/>
      <c r="S43" s="107"/>
      <c r="T43" s="107"/>
      <c r="U43" s="108"/>
    </row>
    <row r="44" spans="1:21" ht="15" thickTop="1" x14ac:dyDescent="0.15">
      <c r="A44" s="97" t="s">
        <v>208</v>
      </c>
      <c r="B44" s="143" t="s">
        <v>209</v>
      </c>
      <c r="C44" s="144"/>
      <c r="D44" s="94" t="s">
        <v>136</v>
      </c>
      <c r="E44" s="95">
        <f>COUNTIFS('別紙2-1出動実績報告表'!$O:$O,1,'別紙2-1出動実績報告表'!$P:$P,1,'別紙2-1出動実績報告表'!$M:$M,1)</f>
        <v>0</v>
      </c>
      <c r="F44" s="95">
        <f>COUNTIFS('別紙2-1出動実績報告表'!$O:$O,1,'別紙2-1出動実績報告表'!$P:$P,2,'別紙2-1出動実績報告表'!$M:$M,1)</f>
        <v>0</v>
      </c>
      <c r="G44" s="95">
        <f>COUNTIFS('別紙2-1出動実績報告表'!$O:$O,1,'別紙2-1出動実績報告表'!$P:$P,3,'別紙2-1出動実績報告表'!$M:$M,1)</f>
        <v>0</v>
      </c>
      <c r="H44" s="95">
        <f>COUNTIFS('別紙2-1出動実績報告表'!$O:$O,2,'別紙2-1出動実績報告表'!$P:$P,1,'別紙2-1出動実績報告表'!$M:$M,1)</f>
        <v>0</v>
      </c>
      <c r="I44" s="95">
        <f>COUNTIFS('別紙2-1出動実績報告表'!$O:$O,2,'別紙2-1出動実績報告表'!$P:$P,2,'別紙2-1出動実績報告表'!$M:$M,1)</f>
        <v>0</v>
      </c>
      <c r="J44" s="95">
        <f>COUNTIFS('別紙2-1出動実績報告表'!$O:$O,3,'別紙2-1出動実績報告表'!$P:$P,1,'別紙2-1出動実績報告表'!$M:$M,1)</f>
        <v>0</v>
      </c>
      <c r="K44" s="95">
        <f>COUNTIFS('別紙2-1出動実績報告表'!$O:$O,3,'別紙2-1出動実績報告表'!$P:$P,2,'別紙2-1出動実績報告表'!$M:$M,1)</f>
        <v>0</v>
      </c>
      <c r="L44" s="95">
        <f>COUNTIFS('別紙2-1出動実績報告表'!$O:$O,3,'別紙2-1出動実績報告表'!$P:$P,3,'別紙2-1出動実績報告表'!$M:$M,1)</f>
        <v>0</v>
      </c>
      <c r="M44" s="95">
        <f>COUNTIFS('別紙2-1出動実績報告表'!$O:$O,4,'別紙2-1出動実績報告表'!$P:$P,1,'別紙2-1出動実績報告表'!$M:$M,1)</f>
        <v>0</v>
      </c>
      <c r="N44" s="95">
        <f>COUNTIFS('別紙2-1出動実績報告表'!$O:$O,4,'別紙2-1出動実績報告表'!$P:$P,2,'別紙2-1出動実績報告表'!$M:$M,1)</f>
        <v>0</v>
      </c>
      <c r="O44" s="95">
        <f>COUNTIFS('別紙2-1出動実績報告表'!$O:$O,4,'別紙2-1出動実績報告表'!$P:$P,3,'別紙2-1出動実績報告表'!$M:$M,1)</f>
        <v>0</v>
      </c>
      <c r="P44" s="95">
        <f>COUNTIFS('別紙2-1出動実績報告表'!$O:$O,4,'別紙2-1出動実績報告表'!$P:$P,4,'別紙2-1出動実績報告表'!$M:$M,1)</f>
        <v>0</v>
      </c>
      <c r="Q44" s="95">
        <f>COUNTIFS('別紙2-1出動実績報告表'!$O:$O,5,'別紙2-1出動実績報告表'!$P:$P,1,'別紙2-1出動実績報告表'!$M:$M,1)</f>
        <v>0</v>
      </c>
      <c r="R44" s="95">
        <f>COUNTIFS('別紙2-1出動実績報告表'!$O:$O,9,'別紙2-1出動実績報告表'!$P:$P,9,'別紙2-1出動実績報告表'!$M:$M,1)</f>
        <v>0</v>
      </c>
      <c r="S44" s="95">
        <f>COUNTIFS('別紙2-1出動実績報告表'!$O:$O,0,'別紙2-1出動実績報告表'!$P:$P,0,'別紙2-1出動実績報告表'!$M:$M,1)</f>
        <v>0</v>
      </c>
      <c r="T44" s="109">
        <f>SUM(E44:S44)</f>
        <v>0</v>
      </c>
      <c r="U44" s="110"/>
    </row>
    <row r="45" spans="1:21" ht="15" thickBot="1" x14ac:dyDescent="0.2">
      <c r="A45" s="103" t="s">
        <v>180</v>
      </c>
      <c r="B45" s="104"/>
      <c r="C45" s="105"/>
      <c r="D45" s="106" t="s">
        <v>207</v>
      </c>
      <c r="E45" s="107"/>
      <c r="F45" s="107"/>
      <c r="G45" s="107"/>
      <c r="H45" s="107"/>
      <c r="I45" s="107"/>
      <c r="J45" s="107"/>
      <c r="K45" s="107"/>
      <c r="L45" s="107"/>
      <c r="M45" s="107"/>
      <c r="N45" s="107"/>
      <c r="O45" s="107"/>
      <c r="P45" s="107"/>
      <c r="Q45" s="107"/>
      <c r="R45" s="107"/>
      <c r="S45" s="107"/>
      <c r="T45" s="107"/>
      <c r="U45" s="108"/>
    </row>
    <row r="46" spans="1:21" ht="15" thickTop="1" x14ac:dyDescent="0.15">
      <c r="A46" s="145" t="s">
        <v>210</v>
      </c>
      <c r="B46" s="146"/>
      <c r="C46" s="147"/>
      <c r="D46" s="111" t="s">
        <v>136</v>
      </c>
      <c r="E46" s="109">
        <f>SUM(E42,E44)</f>
        <v>0</v>
      </c>
      <c r="F46" s="109">
        <f t="shared" ref="F46:T46" si="2">SUM(F42,F44)</f>
        <v>0</v>
      </c>
      <c r="G46" s="109">
        <f t="shared" si="2"/>
        <v>0</v>
      </c>
      <c r="H46" s="109">
        <f t="shared" si="2"/>
        <v>0</v>
      </c>
      <c r="I46" s="109">
        <f t="shared" si="2"/>
        <v>0</v>
      </c>
      <c r="J46" s="109">
        <f t="shared" si="2"/>
        <v>0</v>
      </c>
      <c r="K46" s="109">
        <f t="shared" si="2"/>
        <v>0</v>
      </c>
      <c r="L46" s="109">
        <f t="shared" si="2"/>
        <v>0</v>
      </c>
      <c r="M46" s="109">
        <f t="shared" si="2"/>
        <v>0</v>
      </c>
      <c r="N46" s="109">
        <f t="shared" si="2"/>
        <v>0</v>
      </c>
      <c r="O46" s="109">
        <f t="shared" si="2"/>
        <v>0</v>
      </c>
      <c r="P46" s="109">
        <f t="shared" si="2"/>
        <v>0</v>
      </c>
      <c r="Q46" s="109">
        <f t="shared" si="2"/>
        <v>0</v>
      </c>
      <c r="R46" s="109">
        <f t="shared" si="2"/>
        <v>0</v>
      </c>
      <c r="S46" s="109">
        <f t="shared" si="2"/>
        <v>0</v>
      </c>
      <c r="T46" s="109">
        <f t="shared" si="2"/>
        <v>0</v>
      </c>
      <c r="U46" s="110"/>
    </row>
    <row r="47" spans="1:21" ht="15" thickBot="1" x14ac:dyDescent="0.2">
      <c r="A47" s="148" t="s">
        <v>211</v>
      </c>
      <c r="B47" s="149"/>
      <c r="C47" s="150"/>
      <c r="D47" s="112" t="s">
        <v>207</v>
      </c>
      <c r="E47" s="107"/>
      <c r="F47" s="107"/>
      <c r="G47" s="107"/>
      <c r="H47" s="107"/>
      <c r="I47" s="107"/>
      <c r="J47" s="107"/>
      <c r="K47" s="107"/>
      <c r="L47" s="107"/>
      <c r="M47" s="107"/>
      <c r="N47" s="107"/>
      <c r="O47" s="107"/>
      <c r="P47" s="107"/>
      <c r="Q47" s="107"/>
      <c r="R47" s="107"/>
      <c r="S47" s="107"/>
      <c r="T47" s="107"/>
      <c r="U47" s="108"/>
    </row>
    <row r="48" spans="1:21" thickTop="1" x14ac:dyDescent="0.15">
      <c r="B48" s="57"/>
      <c r="C48" s="113" t="s">
        <v>212</v>
      </c>
      <c r="D48" s="114" t="s">
        <v>213</v>
      </c>
    </row>
    <row r="49" spans="2:4" ht="13.5" x14ac:dyDescent="0.15">
      <c r="B49" s="57"/>
      <c r="C49" s="113" t="s">
        <v>214</v>
      </c>
      <c r="D49" s="115" t="s">
        <v>215</v>
      </c>
    </row>
    <row r="50" spans="2:4" ht="13.5" x14ac:dyDescent="0.15">
      <c r="B50" s="57"/>
      <c r="C50" s="113" t="s">
        <v>216</v>
      </c>
      <c r="D50" s="115" t="s">
        <v>217</v>
      </c>
    </row>
    <row r="51" spans="2:4" ht="13.5" x14ac:dyDescent="0.15">
      <c r="B51" s="57"/>
      <c r="C51" s="57"/>
      <c r="D51" s="57"/>
    </row>
    <row r="52" spans="2:4" ht="13.5" x14ac:dyDescent="0.15">
      <c r="B52" s="57"/>
      <c r="C52" s="57"/>
      <c r="D52" s="57"/>
    </row>
    <row r="53" spans="2:4" ht="13.5" x14ac:dyDescent="0.15">
      <c r="B53" s="57"/>
      <c r="C53" s="57"/>
      <c r="D53" s="57"/>
    </row>
    <row r="54" spans="2:4" ht="13.5" x14ac:dyDescent="0.15">
      <c r="B54" s="57"/>
      <c r="C54" s="57"/>
      <c r="D54" s="57"/>
    </row>
    <row r="55" spans="2:4" ht="13.5" x14ac:dyDescent="0.15">
      <c r="B55" s="57"/>
      <c r="C55" s="57"/>
      <c r="D55" s="57"/>
    </row>
    <row r="56" spans="2:4" ht="13.5" x14ac:dyDescent="0.15">
      <c r="B56" s="57"/>
      <c r="C56" s="57"/>
      <c r="D56" s="57"/>
    </row>
    <row r="57" spans="2:4" ht="13.5" x14ac:dyDescent="0.15">
      <c r="B57" s="57"/>
      <c r="C57" s="57"/>
      <c r="D57" s="57"/>
    </row>
  </sheetData>
  <mergeCells count="5">
    <mergeCell ref="A2:U2"/>
    <mergeCell ref="B42:C42"/>
    <mergeCell ref="B44:C44"/>
    <mergeCell ref="A46:C46"/>
    <mergeCell ref="A47:C47"/>
  </mergeCells>
  <phoneticPr fontId="2"/>
  <pageMargins left="0.59055118110236227" right="0.59055118110236227" top="0.39370078740157483" bottom="0.19685039370078741" header="0.51181102362204722" footer="0.51181102362204722"/>
  <pageSetup paperSize="9" scale="80" orientation="landscape" horizontalDpi="400" verticalDpi="4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別紙2-1出動実績報告表</vt:lpstr>
      <vt:lpstr>出動実績報告表 (記載例・記入番号一覧表)</vt:lpstr>
      <vt:lpstr>別紙2-2故障等統計表</vt:lpstr>
      <vt:lpstr>'出動実績報告表 (記載例・記入番号一覧表)'!Print_Area</vt:lpstr>
      <vt:lpstr>'別紙2-1出動実績報告表'!Print_Titles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上松 慎平</dc:creator>
  <cp:lastModifiedBy>上松 慎平</cp:lastModifiedBy>
  <cp:lastPrinted>2018-01-26T11:24:27Z</cp:lastPrinted>
  <dcterms:created xsi:type="dcterms:W3CDTF">2017-11-21T08:02:14Z</dcterms:created>
  <dcterms:modified xsi:type="dcterms:W3CDTF">2018-01-26T11:33:38Z</dcterms:modified>
</cp:coreProperties>
</file>