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45" activeTab="0"/>
  </bookViews>
  <sheets>
    <sheet name="別紙2-1出動実績報告表" sheetId="1" r:id="rId1"/>
    <sheet name="出動実績報告表 (記載例・記入番号一覧表)" sheetId="2" r:id="rId2"/>
    <sheet name="別紙2-2故障等統計表" sheetId="3" r:id="rId3"/>
  </sheets>
  <definedNames>
    <definedName name="_xlfn.COUNTIFS" hidden="1">#NAME?</definedName>
    <definedName name="_xlnm.Print_Area" localSheetId="1">'出動実績報告表 (記載例・記入番号一覧表)'!$A$1:$U$45</definedName>
    <definedName name="_xlnm.Print_Titles" localSheetId="0">'別紙2-1出動実績報告表'!$1:$10</definedName>
  </definedNames>
  <calcPr fullCalcOnLoad="1"/>
</workbook>
</file>

<file path=xl/sharedStrings.xml><?xml version="1.0" encoding="utf-8"?>
<sst xmlns="http://schemas.openxmlformats.org/spreadsheetml/2006/main" count="295" uniqueCount="221">
  <si>
    <t>（協定締結会社名）</t>
  </si>
  <si>
    <t>●●レッカー株式会社</t>
  </si>
  <si>
    <t>（担当保全・サービスセンター名）</t>
  </si>
  <si>
    <t>（路線名）</t>
  </si>
  <si>
    <t>■■自動車道</t>
  </si>
  <si>
    <t>No.</t>
  </si>
  <si>
    <t>日時</t>
  </si>
  <si>
    <t>要請元</t>
  </si>
  <si>
    <t>停止場所</t>
  </si>
  <si>
    <t>車種</t>
  </si>
  <si>
    <t>故障の場合の主たる原因</t>
  </si>
  <si>
    <t>料金
（円・税込）</t>
  </si>
  <si>
    <t>年</t>
  </si>
  <si>
    <t>月</t>
  </si>
  <si>
    <t>日</t>
  </si>
  <si>
    <t>曜日</t>
  </si>
  <si>
    <t>上下</t>
  </si>
  <si>
    <r>
      <t xml:space="preserve">施設名称
</t>
    </r>
    <r>
      <rPr>
        <sz val="6"/>
        <color indexed="8"/>
        <rFont val="ＭＳ Ｐゴシック"/>
        <family val="3"/>
      </rPr>
      <t>（本線以外の場合）</t>
    </r>
  </si>
  <si>
    <t>kp/mp</t>
  </si>
  <si>
    <t>大分類</t>
  </si>
  <si>
    <t>小分類</t>
  </si>
  <si>
    <t>中分類</t>
  </si>
  <si>
    <t>小分類</t>
  </si>
  <si>
    <t>例</t>
  </si>
  <si>
    <t>土</t>
  </si>
  <si>
    <t>記入番号</t>
  </si>
  <si>
    <t>1：NEXCO道路管制センター</t>
  </si>
  <si>
    <t>1：上り</t>
  </si>
  <si>
    <t>1：バス類</t>
  </si>
  <si>
    <t>1：マイクロバス</t>
  </si>
  <si>
    <t>1：事故</t>
  </si>
  <si>
    <t>1：エンジン</t>
  </si>
  <si>
    <t>1：冷却装置</t>
  </si>
  <si>
    <t>1：ウォータポンプ</t>
  </si>
  <si>
    <t>2：損保会社・ﾛｰﾄﾞｱｼｽﾀﾝｽ会社</t>
  </si>
  <si>
    <t>2：下り</t>
  </si>
  <si>
    <t>2：路線バス</t>
  </si>
  <si>
    <t>2：故障</t>
  </si>
  <si>
    <t>2：ファンベルト</t>
  </si>
  <si>
    <t>3：事故・故障当事者本人</t>
  </si>
  <si>
    <t>3：内回り</t>
  </si>
  <si>
    <t>3：その他バス</t>
  </si>
  <si>
    <t>3：ホース類</t>
  </si>
  <si>
    <t>9：その他</t>
  </si>
  <si>
    <t>4：外回り</t>
  </si>
  <si>
    <t>2：乗用</t>
  </si>
  <si>
    <t>1：乗用</t>
  </si>
  <si>
    <t>4：水不足・水漏れ</t>
  </si>
  <si>
    <t>9：区分なし</t>
  </si>
  <si>
    <t>2：軽乗用</t>
  </si>
  <si>
    <t>9：その他</t>
  </si>
  <si>
    <t>3：小貨物</t>
  </si>
  <si>
    <t>1：軽貨物</t>
  </si>
  <si>
    <t>2：潤滑系統</t>
  </si>
  <si>
    <t>1：オイル不足</t>
  </si>
  <si>
    <t>2：小型貨物</t>
  </si>
  <si>
    <t>3：貨客兼用</t>
  </si>
  <si>
    <t>3：燃料系統</t>
  </si>
  <si>
    <t>1：気化器・噴射ポンプ</t>
  </si>
  <si>
    <t>4：普貨類</t>
  </si>
  <si>
    <t>1：普通貨物</t>
  </si>
  <si>
    <t>2：アクセル機構</t>
  </si>
  <si>
    <t>2：大型貨物</t>
  </si>
  <si>
    <t>3：パイプ類</t>
  </si>
  <si>
    <t>3：特大車</t>
  </si>
  <si>
    <t>4：燃料切れ</t>
  </si>
  <si>
    <t>4：大型特殊</t>
  </si>
  <si>
    <t>5：二輪車</t>
  </si>
  <si>
    <t>1：自動二輪</t>
  </si>
  <si>
    <t>4：電気系統</t>
  </si>
  <si>
    <t>1：点火プラグ</t>
  </si>
  <si>
    <t>2：ディストリピューター</t>
  </si>
  <si>
    <t>0：不明</t>
  </si>
  <si>
    <t>3：発電機（レギレターを含む）</t>
  </si>
  <si>
    <t>4：スターター（リレーを含む）</t>
  </si>
  <si>
    <t>5：バッテリー</t>
  </si>
  <si>
    <t>2：シャーシ及び車体</t>
  </si>
  <si>
    <t>1：走行装置</t>
  </si>
  <si>
    <t>1：クラッチ</t>
  </si>
  <si>
    <t>2：変速機</t>
  </si>
  <si>
    <t>3：プロペラシャフト</t>
  </si>
  <si>
    <t>4：デフレンシャル</t>
  </si>
  <si>
    <t>5：タイヤ</t>
  </si>
  <si>
    <t>6：車輪</t>
  </si>
  <si>
    <t>1：操行装置</t>
  </si>
  <si>
    <t>2：ブレーキ</t>
  </si>
  <si>
    <t>3：ランプ類</t>
  </si>
  <si>
    <t>4：配線</t>
  </si>
  <si>
    <t>0：発見できず</t>
  </si>
  <si>
    <t>備考
（「その他」選択した場合の内容等）</t>
  </si>
  <si>
    <t>記入例</t>
  </si>
  <si>
    <t>●●IC</t>
  </si>
  <si>
    <t>▲▲JCT</t>
  </si>
  <si>
    <t>■■SA</t>
  </si>
  <si>
    <t>■■PA</t>
  </si>
  <si>
    <t>出動時刻</t>
  </si>
  <si>
    <t>現着時刻</t>
  </si>
  <si>
    <t>離脱時刻</t>
  </si>
  <si>
    <t>事故/故障</t>
  </si>
  <si>
    <t>▲▲保全・サービスセンター</t>
  </si>
  <si>
    <t>●●IC</t>
  </si>
  <si>
    <t>C-360</t>
  </si>
  <si>
    <t>出動実績報告表 (記載例・記入番号一覧表)</t>
  </si>
  <si>
    <t>道路管制センターの要請により、
大型貨物車の故障（燃料切れ）対応を
行った場合の記載例</t>
  </si>
  <si>
    <t>事故当事者本人の要請により、
普通自動車の事故対応を
行った場合の記載例</t>
  </si>
  <si>
    <t>※路線ごとに作成し、当該路線におけるすべての出動実績を記載してください</t>
  </si>
  <si>
    <t>車両移動の有無</t>
  </si>
  <si>
    <t>1：車両移動（積載）</t>
  </si>
  <si>
    <t>2：車両移動（けん引）</t>
  </si>
  <si>
    <t>3：移動なし（修理等のみ）</t>
  </si>
  <si>
    <t>（区間）</t>
  </si>
  <si>
    <t>車  種</t>
  </si>
  <si>
    <t>バ  ス  類</t>
  </si>
  <si>
    <t>乗   用</t>
  </si>
  <si>
    <t>小  貨  物</t>
  </si>
  <si>
    <t>普  貨  類</t>
  </si>
  <si>
    <t>二輪車</t>
  </si>
  <si>
    <t>マロ</t>
  </si>
  <si>
    <t>路バ</t>
  </si>
  <si>
    <t>そバ</t>
  </si>
  <si>
    <t>乗</t>
  </si>
  <si>
    <t>軽</t>
  </si>
  <si>
    <t>小貨</t>
  </si>
  <si>
    <t>貨兼</t>
  </si>
  <si>
    <t>普貨</t>
  </si>
  <si>
    <t>大貨</t>
  </si>
  <si>
    <t>特</t>
  </si>
  <si>
    <t>大特</t>
  </si>
  <si>
    <t>自二</t>
  </si>
  <si>
    <t>そ</t>
  </si>
  <si>
    <t>不</t>
  </si>
  <si>
    <t>計</t>
  </si>
  <si>
    <t>イバ</t>
  </si>
  <si>
    <t>貨</t>
  </si>
  <si>
    <t>大</t>
  </si>
  <si>
    <t>の</t>
  </si>
  <si>
    <t>件数</t>
  </si>
  <si>
    <t>構成比</t>
  </si>
  <si>
    <t>故障等原因別</t>
  </si>
  <si>
    <t>クス</t>
  </si>
  <si>
    <t>線ス</t>
  </si>
  <si>
    <t>他ス</t>
  </si>
  <si>
    <t>用</t>
  </si>
  <si>
    <t>物</t>
  </si>
  <si>
    <t>型物</t>
  </si>
  <si>
    <t>客用</t>
  </si>
  <si>
    <t>通物</t>
  </si>
  <si>
    <t>車</t>
  </si>
  <si>
    <t>型殊</t>
  </si>
  <si>
    <t>動輪</t>
  </si>
  <si>
    <t>他</t>
  </si>
  <si>
    <t>明</t>
  </si>
  <si>
    <t>(%)</t>
  </si>
  <si>
    <t>冷</t>
  </si>
  <si>
    <t>ｳｵｰﾀｰﾎﾟﾝﾌﾟ</t>
  </si>
  <si>
    <t>却</t>
  </si>
  <si>
    <t>ﾌｧﾝﾍﾞﾙﾄ</t>
  </si>
  <si>
    <t>装</t>
  </si>
  <si>
    <t>ﾎｰｽ類</t>
  </si>
  <si>
    <t>エ</t>
  </si>
  <si>
    <t>置</t>
  </si>
  <si>
    <t>水不足・水漏れ</t>
  </si>
  <si>
    <t>その他</t>
  </si>
  <si>
    <t>潤系</t>
  </si>
  <si>
    <t>ｵｲﾙ不足</t>
  </si>
  <si>
    <t>滑統</t>
  </si>
  <si>
    <t>ン</t>
  </si>
  <si>
    <t>燃</t>
  </si>
  <si>
    <t>気化器・噴射ﾎﾟﾝﾌﾟ</t>
  </si>
  <si>
    <t>料</t>
  </si>
  <si>
    <t>ｱｸｾﾙ機構</t>
  </si>
  <si>
    <t>系</t>
  </si>
  <si>
    <t>ﾊﾟｲﾌﾟ類</t>
  </si>
  <si>
    <t>統</t>
  </si>
  <si>
    <t>燃料切れ</t>
  </si>
  <si>
    <t>ジ</t>
  </si>
  <si>
    <t>点火ﾌﾟﾗｸﾞ</t>
  </si>
  <si>
    <t>ﾃﾞｲｽﾄﾘｰﾋﾞｭｰﾀｰ</t>
  </si>
  <si>
    <t>ジ電</t>
  </si>
  <si>
    <t>発電機(ﾚｷﾞｭﾚｰﾀｰを含む)</t>
  </si>
  <si>
    <t>故</t>
  </si>
  <si>
    <t>ン気</t>
  </si>
  <si>
    <t>ｽﾀｰﾀｰ</t>
  </si>
  <si>
    <t xml:space="preserve">   系</t>
  </si>
  <si>
    <t>ﾊﾞｯﾃﾘｰ</t>
  </si>
  <si>
    <t>障</t>
  </si>
  <si>
    <t xml:space="preserve">   統</t>
  </si>
  <si>
    <t>そ        の        他</t>
  </si>
  <si>
    <t>ｸﾗｯﾁ</t>
  </si>
  <si>
    <t>走</t>
  </si>
  <si>
    <t>変速機</t>
  </si>
  <si>
    <t>シ</t>
  </si>
  <si>
    <t>行</t>
  </si>
  <si>
    <t>ﾌﾟﾛﾍﾟﾗｼｬﾌﾄ</t>
  </si>
  <si>
    <t>ﾔ</t>
  </si>
  <si>
    <t>ﾃﾞﾌﾚﾝｼｬﾙ</t>
  </si>
  <si>
    <t>｜</t>
  </si>
  <si>
    <t>ﾀｲﾔ</t>
  </si>
  <si>
    <t>車輪</t>
  </si>
  <si>
    <t>及</t>
  </si>
  <si>
    <t>び</t>
  </si>
  <si>
    <t>操行装置</t>
  </si>
  <si>
    <t>ﾌﾞﾚｰｷ</t>
  </si>
  <si>
    <t>体</t>
  </si>
  <si>
    <t>ﾗﾝﾌﾟ類</t>
  </si>
  <si>
    <t>配線</t>
  </si>
  <si>
    <t>故障計</t>
  </si>
  <si>
    <t>構成比(%)</t>
  </si>
  <si>
    <t>事</t>
  </si>
  <si>
    <t>事故計</t>
  </si>
  <si>
    <t>故障・事故</t>
  </si>
  <si>
    <t>総計</t>
  </si>
  <si>
    <t>（注１）</t>
  </si>
  <si>
    <t>対応した車両１台を１件として計上してください。</t>
  </si>
  <si>
    <t>（注２）</t>
  </si>
  <si>
    <t>出動理由（故障又は事故）別に計上し、故障・事故の両方で計上しないよう注意してください。（事故の場合は、原因別に分ける必要はありませんので一括して計上してください。）</t>
  </si>
  <si>
    <t>（注３）</t>
  </si>
  <si>
    <t>故障の原因別に計上する場合は、「主たる故障原因」のところに計上し、対応した１台が複数計上しないよう注意してください。</t>
  </si>
  <si>
    <t xml:space="preserve">  の</t>
  </si>
  <si>
    <t>別紙2-1　出動実績報告表（　　　　年度）</t>
  </si>
  <si>
    <t>別紙2-2　故障等統計表(　　      年度)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</si>
</sst>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51">
    <font>
      <sz val="11"/>
      <color theme="1"/>
      <name val="Calibri"/>
      <family val="3"/>
    </font>
    <font>
      <sz val="11"/>
      <color indexed="8"/>
      <name val="メイリオ"/>
      <family val="3"/>
    </font>
    <font>
      <sz val="6"/>
      <name val="ＭＳ Ｐゴシック"/>
      <family val="3"/>
    </font>
    <font>
      <sz val="6"/>
      <color indexed="8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12"/>
      <name val="ＭＳ Ｐゴシック"/>
      <family val="3"/>
    </font>
    <font>
      <sz val="14"/>
      <color indexed="8"/>
      <name val="ＭＳ Ｐゴシック"/>
      <family val="3"/>
    </font>
    <font>
      <sz val="11"/>
      <color indexed="60"/>
      <name val="ＭＳ Ｐゴシック"/>
      <family val="3"/>
    </font>
    <font>
      <sz val="18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メイリオ"/>
      <family val="3"/>
    </font>
    <font>
      <b/>
      <sz val="13"/>
      <color indexed="54"/>
      <name val="メイリオ"/>
      <family val="3"/>
    </font>
    <font>
      <b/>
      <sz val="11"/>
      <color indexed="54"/>
      <name val="メイリオ"/>
      <family val="3"/>
    </font>
    <font>
      <sz val="11"/>
      <color indexed="17"/>
      <name val="メイリオ"/>
      <family val="3"/>
    </font>
    <font>
      <sz val="11"/>
      <color indexed="20"/>
      <name val="メイリオ"/>
      <family val="3"/>
    </font>
    <font>
      <sz val="11"/>
      <color indexed="60"/>
      <name val="メイリオ"/>
      <family val="3"/>
    </font>
    <font>
      <sz val="11"/>
      <color indexed="62"/>
      <name val="メイリオ"/>
      <family val="3"/>
    </font>
    <font>
      <b/>
      <sz val="11"/>
      <color indexed="63"/>
      <name val="メイリオ"/>
      <family val="3"/>
    </font>
    <font>
      <b/>
      <sz val="11"/>
      <color indexed="52"/>
      <name val="メイリオ"/>
      <family val="3"/>
    </font>
    <font>
      <sz val="11"/>
      <color indexed="52"/>
      <name val="メイリオ"/>
      <family val="3"/>
    </font>
    <font>
      <b/>
      <sz val="11"/>
      <color indexed="9"/>
      <name val="メイリオ"/>
      <family val="3"/>
    </font>
    <font>
      <sz val="11"/>
      <color indexed="10"/>
      <name val="メイリオ"/>
      <family val="3"/>
    </font>
    <font>
      <i/>
      <sz val="11"/>
      <color indexed="23"/>
      <name val="メイリオ"/>
      <family val="3"/>
    </font>
    <font>
      <b/>
      <sz val="11"/>
      <color indexed="8"/>
      <name val="メイリオ"/>
      <family val="3"/>
    </font>
    <font>
      <sz val="11"/>
      <color indexed="9"/>
      <name val="メイリオ"/>
      <family val="3"/>
    </font>
    <font>
      <sz val="10"/>
      <color indexed="8"/>
      <name val="Calibri"/>
      <family val="2"/>
    </font>
    <font>
      <sz val="10"/>
      <color indexed="8"/>
      <name val="ＭＳ Ｐゴシック"/>
      <family val="3"/>
    </font>
    <font>
      <sz val="11"/>
      <color theme="1"/>
      <name val="メイリオ"/>
      <family val="3"/>
    </font>
    <font>
      <sz val="11"/>
      <color theme="0"/>
      <name val="メイリオ"/>
      <family val="3"/>
    </font>
    <font>
      <sz val="18"/>
      <color theme="3"/>
      <name val="Calibri Light"/>
      <family val="3"/>
    </font>
    <font>
      <b/>
      <sz val="11"/>
      <color theme="0"/>
      <name val="メイリオ"/>
      <family val="3"/>
    </font>
    <font>
      <sz val="11"/>
      <color rgb="FF9C6500"/>
      <name val="メイリオ"/>
      <family val="3"/>
    </font>
    <font>
      <sz val="11"/>
      <color rgb="FFFA7D00"/>
      <name val="メイリオ"/>
      <family val="3"/>
    </font>
    <font>
      <sz val="11"/>
      <color rgb="FF9C0006"/>
      <name val="メイリオ"/>
      <family val="3"/>
    </font>
    <font>
      <b/>
      <sz val="11"/>
      <color rgb="FFFA7D00"/>
      <name val="メイリオ"/>
      <family val="3"/>
    </font>
    <font>
      <sz val="11"/>
      <color rgb="FFFF0000"/>
      <name val="メイリオ"/>
      <family val="3"/>
    </font>
    <font>
      <b/>
      <sz val="15"/>
      <color theme="3"/>
      <name val="メイリオ"/>
      <family val="3"/>
    </font>
    <font>
      <b/>
      <sz val="13"/>
      <color theme="3"/>
      <name val="メイリオ"/>
      <family val="3"/>
    </font>
    <font>
      <b/>
      <sz val="11"/>
      <color theme="3"/>
      <name val="メイリオ"/>
      <family val="3"/>
    </font>
    <font>
      <b/>
      <sz val="11"/>
      <color theme="1"/>
      <name val="メイリオ"/>
      <family val="3"/>
    </font>
    <font>
      <b/>
      <sz val="11"/>
      <color rgb="FF3F3F3F"/>
      <name val="メイリオ"/>
      <family val="3"/>
    </font>
    <font>
      <i/>
      <sz val="11"/>
      <color rgb="FF7F7F7F"/>
      <name val="メイリオ"/>
      <family val="3"/>
    </font>
    <font>
      <sz val="11"/>
      <color rgb="FF3F3F76"/>
      <name val="メイリオ"/>
      <family val="3"/>
    </font>
    <font>
      <sz val="11"/>
      <color rgb="FF006100"/>
      <name val="メイリオ"/>
      <family val="3"/>
    </font>
    <font>
      <sz val="11"/>
      <color rgb="FF0000FF"/>
      <name val="Calibri"/>
      <family val="3"/>
    </font>
    <font>
      <sz val="14"/>
      <color theme="1"/>
      <name val="Calibri"/>
      <family val="3"/>
    </font>
    <font>
      <sz val="11"/>
      <color theme="5" tint="-0.4999699890613556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/>
      <right style="medium"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double"/>
      <top/>
      <bottom style="thin"/>
    </border>
    <border>
      <left style="thin"/>
      <right style="double"/>
      <top style="thin"/>
      <bottom/>
    </border>
    <border>
      <left style="double"/>
      <right/>
      <top/>
      <bottom style="thin"/>
    </border>
    <border>
      <left style="thin"/>
      <right style="double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double"/>
      <top style="thin"/>
      <bottom style="double"/>
    </border>
    <border>
      <left/>
      <right style="medium"/>
      <top style="medium"/>
      <bottom/>
    </border>
    <border>
      <left/>
      <right style="medium"/>
      <top/>
      <bottom style="double"/>
    </border>
    <border>
      <left style="medium"/>
      <right style="medium"/>
      <top style="medium"/>
      <bottom/>
    </border>
    <border>
      <left style="medium"/>
      <right style="medium"/>
      <top/>
      <bottom style="double"/>
    </border>
    <border>
      <left style="thin"/>
      <right style="thin"/>
      <top/>
      <bottom style="double"/>
    </border>
    <border>
      <left style="thin"/>
      <right/>
      <top style="thin"/>
      <bottom/>
    </border>
    <border>
      <left style="double"/>
      <right/>
      <top/>
      <bottom style="double"/>
    </border>
    <border>
      <left/>
      <right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>
      <alignment/>
      <protection/>
    </xf>
    <xf numFmtId="0" fontId="46" fillId="32" borderId="0" applyNumberFormat="0" applyBorder="0" applyAlignment="0" applyProtection="0"/>
  </cellStyleXfs>
  <cellXfs count="151">
    <xf numFmtId="0" fontId="0" fillId="0" borderId="0" xfId="0" applyFont="1" applyAlignment="1">
      <alignment/>
    </xf>
    <xf numFmtId="0" fontId="0" fillId="0" borderId="0" xfId="0" applyAlignment="1">
      <alignment horizontal="centerContinuous" vertical="center"/>
    </xf>
    <xf numFmtId="38" fontId="0" fillId="0" borderId="0" xfId="48" applyFont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38" fontId="0" fillId="0" borderId="0" xfId="48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38" fontId="0" fillId="0" borderId="0" xfId="48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12" xfId="0" applyFont="1" applyBorder="1" applyAlignment="1">
      <alignment horizontal="centerContinuous" vertical="center"/>
    </xf>
    <xf numFmtId="0" fontId="47" fillId="0" borderId="12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Continuous" vertical="center"/>
    </xf>
    <xf numFmtId="38" fontId="47" fillId="0" borderId="0" xfId="48" applyFont="1" applyBorder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13" xfId="0" applyFont="1" applyBorder="1" applyAlignment="1">
      <alignment vertical="center"/>
    </xf>
    <xf numFmtId="0" fontId="47" fillId="0" borderId="14" xfId="0" applyFont="1" applyBorder="1" applyAlignment="1">
      <alignment vertical="center"/>
    </xf>
    <xf numFmtId="38" fontId="47" fillId="0" borderId="0" xfId="48" applyFont="1" applyBorder="1" applyAlignment="1">
      <alignment vertical="center"/>
    </xf>
    <xf numFmtId="0" fontId="47" fillId="0" borderId="11" xfId="0" applyFont="1" applyBorder="1" applyAlignment="1">
      <alignment vertical="center"/>
    </xf>
    <xf numFmtId="0" fontId="47" fillId="0" borderId="15" xfId="0" applyFont="1" applyBorder="1" applyAlignment="1">
      <alignment vertical="center"/>
    </xf>
    <xf numFmtId="0" fontId="48" fillId="0" borderId="0" xfId="0" applyFont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0" fillId="0" borderId="13" xfId="0" applyFill="1" applyBorder="1" applyAlignment="1">
      <alignment vertical="center"/>
    </xf>
    <xf numFmtId="20" fontId="0" fillId="0" borderId="13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0" fillId="5" borderId="13" xfId="0" applyFill="1" applyBorder="1" applyAlignment="1">
      <alignment vertical="center"/>
    </xf>
    <xf numFmtId="20" fontId="0" fillId="5" borderId="13" xfId="0" applyNumberFormat="1" applyFill="1" applyBorder="1" applyAlignment="1">
      <alignment vertical="center"/>
    </xf>
    <xf numFmtId="176" fontId="0" fillId="5" borderId="13" xfId="0" applyNumberFormat="1" applyFill="1" applyBorder="1" applyAlignment="1">
      <alignment vertical="center"/>
    </xf>
    <xf numFmtId="38" fontId="0" fillId="5" borderId="13" xfId="48" applyFont="1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20" fontId="0" fillId="5" borderId="11" xfId="0" applyNumberFormat="1" applyFill="1" applyBorder="1" applyAlignment="1">
      <alignment vertical="center"/>
    </xf>
    <xf numFmtId="38" fontId="0" fillId="5" borderId="11" xfId="48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20" fontId="0" fillId="0" borderId="20" xfId="0" applyNumberForma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19" xfId="0" applyBorder="1" applyAlignment="1">
      <alignment horizontal="center" vertical="center"/>
    </xf>
    <xf numFmtId="38" fontId="0" fillId="0" borderId="21" xfId="48" applyFont="1" applyFill="1" applyBorder="1" applyAlignment="1">
      <alignment vertical="center"/>
    </xf>
    <xf numFmtId="0" fontId="0" fillId="5" borderId="13" xfId="0" applyFill="1" applyBorder="1" applyAlignment="1">
      <alignment vertical="center" wrapText="1"/>
    </xf>
    <xf numFmtId="0" fontId="0" fillId="5" borderId="11" xfId="0" applyFill="1" applyBorder="1" applyAlignment="1">
      <alignment vertical="center" wrapText="1"/>
    </xf>
    <xf numFmtId="0" fontId="0" fillId="0" borderId="22" xfId="0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0" fillId="0" borderId="25" xfId="0" applyBorder="1" applyAlignment="1">
      <alignment horizontal="centerContinuous" vertical="center"/>
    </xf>
    <xf numFmtId="0" fontId="0" fillId="0" borderId="26" xfId="0" applyBorder="1" applyAlignment="1">
      <alignment horizontal="centerContinuous" vertical="center"/>
    </xf>
    <xf numFmtId="0" fontId="0" fillId="0" borderId="27" xfId="0" applyFill="1" applyBorder="1" applyAlignment="1">
      <alignment vertical="center"/>
    </xf>
    <xf numFmtId="0" fontId="4" fillId="0" borderId="0" xfId="60" applyFont="1">
      <alignment/>
      <protection/>
    </xf>
    <xf numFmtId="0" fontId="5" fillId="0" borderId="0" xfId="60" applyFont="1">
      <alignment/>
      <protection/>
    </xf>
    <xf numFmtId="0" fontId="6" fillId="0" borderId="0" xfId="60" applyFont="1">
      <alignment/>
      <protection/>
    </xf>
    <xf numFmtId="0" fontId="4" fillId="0" borderId="10" xfId="60" applyFont="1" applyBorder="1">
      <alignment/>
      <protection/>
    </xf>
    <xf numFmtId="0" fontId="5" fillId="0" borderId="10" xfId="60" applyFont="1" applyBorder="1">
      <alignment/>
      <protection/>
    </xf>
    <xf numFmtId="0" fontId="4" fillId="0" borderId="0" xfId="60" applyFont="1" applyBorder="1">
      <alignment/>
      <protection/>
    </xf>
    <xf numFmtId="0" fontId="5" fillId="0" borderId="0" xfId="60" applyFont="1" applyBorder="1">
      <alignment/>
      <protection/>
    </xf>
    <xf numFmtId="0" fontId="5" fillId="0" borderId="28" xfId="60" applyFont="1" applyBorder="1">
      <alignment/>
      <protection/>
    </xf>
    <xf numFmtId="0" fontId="5" fillId="0" borderId="29" xfId="60" applyFont="1" applyBorder="1">
      <alignment/>
      <protection/>
    </xf>
    <xf numFmtId="0" fontId="5" fillId="0" borderId="30" xfId="60" applyFont="1" applyBorder="1" applyAlignment="1">
      <alignment horizontal="right"/>
      <protection/>
    </xf>
    <xf numFmtId="0" fontId="5" fillId="0" borderId="31" xfId="60" applyFont="1" applyBorder="1" applyAlignment="1">
      <alignment horizontal="centerContinuous"/>
      <protection/>
    </xf>
    <xf numFmtId="0" fontId="5" fillId="0" borderId="32" xfId="60" applyFont="1" applyBorder="1" applyAlignment="1">
      <alignment horizontal="centerContinuous"/>
      <protection/>
    </xf>
    <xf numFmtId="0" fontId="5" fillId="0" borderId="33" xfId="60" applyFont="1" applyBorder="1" applyAlignment="1">
      <alignment horizontal="centerContinuous"/>
      <protection/>
    </xf>
    <xf numFmtId="0" fontId="5" fillId="0" borderId="34" xfId="60" applyFont="1" applyBorder="1">
      <alignment/>
      <protection/>
    </xf>
    <xf numFmtId="0" fontId="5" fillId="0" borderId="35" xfId="60" applyFont="1" applyBorder="1">
      <alignment/>
      <protection/>
    </xf>
    <xf numFmtId="0" fontId="5" fillId="0" borderId="36" xfId="60" applyFont="1" applyBorder="1">
      <alignment/>
      <protection/>
    </xf>
    <xf numFmtId="0" fontId="5" fillId="0" borderId="37" xfId="60" applyFont="1" applyBorder="1">
      <alignment/>
      <protection/>
    </xf>
    <xf numFmtId="0" fontId="5" fillId="0" borderId="38" xfId="60" applyFont="1" applyBorder="1" applyAlignment="1">
      <alignment horizontal="center"/>
      <protection/>
    </xf>
    <xf numFmtId="0" fontId="5" fillId="0" borderId="0" xfId="60" applyFont="1" applyBorder="1" applyAlignment="1">
      <alignment horizontal="center"/>
      <protection/>
    </xf>
    <xf numFmtId="0" fontId="5" fillId="0" borderId="39" xfId="60" applyFont="1" applyBorder="1" applyAlignment="1">
      <alignment horizontal="center"/>
      <protection/>
    </xf>
    <xf numFmtId="0" fontId="5" fillId="0" borderId="40" xfId="60" applyFont="1" applyBorder="1" applyAlignment="1">
      <alignment horizontal="center"/>
      <protection/>
    </xf>
    <xf numFmtId="0" fontId="5" fillId="0" borderId="16" xfId="60" applyFont="1" applyBorder="1" applyAlignment="1">
      <alignment horizontal="center"/>
      <protection/>
    </xf>
    <xf numFmtId="0" fontId="5" fillId="0" borderId="41" xfId="60" applyFont="1" applyBorder="1" applyAlignment="1">
      <alignment horizontal="center"/>
      <protection/>
    </xf>
    <xf numFmtId="0" fontId="5" fillId="0" borderId="14" xfId="60" applyFont="1" applyBorder="1" applyAlignment="1">
      <alignment horizontal="centerContinuous"/>
      <protection/>
    </xf>
    <xf numFmtId="0" fontId="5" fillId="0" borderId="42" xfId="60" applyFont="1" applyBorder="1" applyAlignment="1">
      <alignment horizontal="centerContinuous"/>
      <protection/>
    </xf>
    <xf numFmtId="0" fontId="5" fillId="0" borderId="0" xfId="60" applyFont="1" applyAlignment="1">
      <alignment horizontal="center"/>
      <protection/>
    </xf>
    <xf numFmtId="0" fontId="5" fillId="0" borderId="39" xfId="60" applyFont="1" applyBorder="1" applyAlignment="1">
      <alignment horizontal="right"/>
      <protection/>
    </xf>
    <xf numFmtId="0" fontId="5" fillId="0" borderId="41" xfId="60" applyFont="1" applyBorder="1" applyAlignment="1">
      <alignment horizontal="left"/>
      <protection/>
    </xf>
    <xf numFmtId="0" fontId="5" fillId="0" borderId="43" xfId="60" applyFont="1" applyBorder="1" applyAlignment="1">
      <alignment horizontal="center"/>
      <protection/>
    </xf>
    <xf numFmtId="0" fontId="5" fillId="0" borderId="44" xfId="60" applyFont="1" applyBorder="1" applyAlignment="1">
      <alignment horizontal="left"/>
      <protection/>
    </xf>
    <xf numFmtId="0" fontId="5" fillId="0" borderId="10" xfId="60" applyFont="1" applyBorder="1" applyAlignment="1">
      <alignment horizontal="left"/>
      <protection/>
    </xf>
    <xf numFmtId="0" fontId="5" fillId="0" borderId="10" xfId="60" applyFont="1" applyBorder="1" applyAlignment="1">
      <alignment horizontal="center"/>
      <protection/>
    </xf>
    <xf numFmtId="0" fontId="5" fillId="0" borderId="17" xfId="60" applyFont="1" applyBorder="1" applyAlignment="1">
      <alignment horizontal="center"/>
      <protection/>
    </xf>
    <xf numFmtId="0" fontId="5" fillId="0" borderId="13" xfId="60" applyFont="1" applyBorder="1" applyAlignment="1">
      <alignment horizontal="center"/>
      <protection/>
    </xf>
    <xf numFmtId="0" fontId="5" fillId="0" borderId="45" xfId="60" applyFont="1" applyBorder="1" applyAlignment="1">
      <alignment horizontal="center"/>
      <protection/>
    </xf>
    <xf numFmtId="0" fontId="5" fillId="0" borderId="46" xfId="60" applyFont="1" applyBorder="1" applyAlignment="1">
      <alignment horizontal="center"/>
      <protection/>
    </xf>
    <xf numFmtId="0" fontId="5" fillId="0" borderId="41" xfId="60" applyFont="1" applyBorder="1">
      <alignment/>
      <protection/>
    </xf>
    <xf numFmtId="0" fontId="5" fillId="0" borderId="13" xfId="60" applyFont="1" applyBorder="1">
      <alignment/>
      <protection/>
    </xf>
    <xf numFmtId="0" fontId="4" fillId="0" borderId="11" xfId="60" applyFont="1" applyBorder="1">
      <alignment/>
      <protection/>
    </xf>
    <xf numFmtId="0" fontId="4" fillId="0" borderId="47" xfId="60" applyFont="1" applyBorder="1">
      <alignment/>
      <protection/>
    </xf>
    <xf numFmtId="0" fontId="5" fillId="0" borderId="48" xfId="60" applyFont="1" applyBorder="1" applyAlignment="1">
      <alignment horizontal="center"/>
      <protection/>
    </xf>
    <xf numFmtId="0" fontId="5" fillId="0" borderId="11" xfId="60" applyFont="1" applyBorder="1">
      <alignment/>
      <protection/>
    </xf>
    <xf numFmtId="0" fontId="5" fillId="0" borderId="16" xfId="60" applyFont="1" applyBorder="1">
      <alignment/>
      <protection/>
    </xf>
    <xf numFmtId="0" fontId="5" fillId="0" borderId="41" xfId="60" applyFont="1" applyBorder="1" applyAlignment="1">
      <alignment/>
      <protection/>
    </xf>
    <xf numFmtId="0" fontId="5" fillId="0" borderId="13" xfId="60" applyFont="1" applyBorder="1" applyAlignment="1">
      <alignment/>
      <protection/>
    </xf>
    <xf numFmtId="0" fontId="5" fillId="0" borderId="15" xfId="60" applyFont="1" applyBorder="1">
      <alignment/>
      <protection/>
    </xf>
    <xf numFmtId="0" fontId="5" fillId="0" borderId="49" xfId="60" applyFont="1" applyBorder="1" applyAlignment="1">
      <alignment horizontal="center"/>
      <protection/>
    </xf>
    <xf numFmtId="0" fontId="5" fillId="0" borderId="50" xfId="60" applyFont="1" applyBorder="1">
      <alignment/>
      <protection/>
    </xf>
    <xf numFmtId="0" fontId="5" fillId="0" borderId="51" xfId="60" applyFont="1" applyBorder="1">
      <alignment/>
      <protection/>
    </xf>
    <xf numFmtId="0" fontId="5" fillId="0" borderId="12" xfId="60" applyFont="1" applyBorder="1">
      <alignment/>
      <protection/>
    </xf>
    <xf numFmtId="0" fontId="4" fillId="0" borderId="12" xfId="60" applyFont="1" applyBorder="1">
      <alignment/>
      <protection/>
    </xf>
    <xf numFmtId="0" fontId="4" fillId="0" borderId="52" xfId="60" applyFont="1" applyBorder="1">
      <alignment/>
      <protection/>
    </xf>
    <xf numFmtId="0" fontId="4" fillId="0" borderId="13" xfId="60" applyFont="1" applyBorder="1">
      <alignment/>
      <protection/>
    </xf>
    <xf numFmtId="0" fontId="4" fillId="0" borderId="45" xfId="60" applyFont="1" applyBorder="1">
      <alignment/>
      <protection/>
    </xf>
    <xf numFmtId="0" fontId="5" fillId="0" borderId="17" xfId="60" applyFont="1" applyBorder="1">
      <alignment/>
      <protection/>
    </xf>
    <xf numFmtId="0" fontId="5" fillId="0" borderId="18" xfId="60" applyFont="1" applyBorder="1">
      <alignment/>
      <protection/>
    </xf>
    <xf numFmtId="0" fontId="4" fillId="0" borderId="0" xfId="60" applyFont="1" applyAlignment="1">
      <alignment horizontal="right"/>
      <protection/>
    </xf>
    <xf numFmtId="0" fontId="4" fillId="0" borderId="39" xfId="60" applyFont="1" applyFill="1" applyBorder="1">
      <alignment/>
      <protection/>
    </xf>
    <xf numFmtId="0" fontId="4" fillId="0" borderId="0" xfId="60" applyFont="1" applyFill="1" applyBorder="1">
      <alignment/>
      <protection/>
    </xf>
    <xf numFmtId="0" fontId="0" fillId="0" borderId="0" xfId="0" applyAlignment="1" quotePrefix="1">
      <alignment vertical="center"/>
    </xf>
    <xf numFmtId="0" fontId="50" fillId="0" borderId="0" xfId="0" applyFont="1" applyAlignment="1">
      <alignment vertical="center"/>
    </xf>
    <xf numFmtId="0" fontId="50" fillId="0" borderId="21" xfId="0" applyFont="1" applyFill="1" applyBorder="1" applyAlignment="1">
      <alignment horizontal="right" vertical="center"/>
    </xf>
    <xf numFmtId="0" fontId="50" fillId="0" borderId="17" xfId="0" applyFont="1" applyFill="1" applyBorder="1" applyAlignment="1">
      <alignment horizontal="right" vertical="center"/>
    </xf>
    <xf numFmtId="0" fontId="50" fillId="0" borderId="13" xfId="0" applyFont="1" applyFill="1" applyBorder="1" applyAlignment="1">
      <alignment horizontal="right" vertical="center"/>
    </xf>
    <xf numFmtId="0" fontId="50" fillId="0" borderId="20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176" fontId="0" fillId="0" borderId="20" xfId="0" applyNumberFormat="1" applyFont="1" applyFill="1" applyBorder="1" applyAlignment="1">
      <alignment horizontal="right" vertical="center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38" fontId="0" fillId="0" borderId="55" xfId="48" applyFont="1" applyBorder="1" applyAlignment="1">
      <alignment horizontal="center" vertical="center" wrapText="1"/>
    </xf>
    <xf numFmtId="38" fontId="0" fillId="0" borderId="56" xfId="48" applyFont="1" applyBorder="1" applyAlignment="1">
      <alignment horizontal="center" vertical="center"/>
    </xf>
    <xf numFmtId="0" fontId="47" fillId="0" borderId="11" xfId="0" applyFont="1" applyBorder="1" applyAlignment="1">
      <alignment vertical="center"/>
    </xf>
    <xf numFmtId="38" fontId="0" fillId="0" borderId="16" xfId="48" applyFont="1" applyBorder="1" applyAlignment="1">
      <alignment horizontal="center" vertical="center" wrapText="1"/>
    </xf>
    <xf numFmtId="38" fontId="0" fillId="0" borderId="57" xfId="48" applyFont="1" applyBorder="1" applyAlignment="1">
      <alignment horizontal="center" vertical="center"/>
    </xf>
    <xf numFmtId="0" fontId="47" fillId="0" borderId="13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6" fillId="0" borderId="0" xfId="60" applyFont="1" applyAlignment="1">
      <alignment horizontal="center"/>
      <protection/>
    </xf>
    <xf numFmtId="0" fontId="5" fillId="0" borderId="58" xfId="60" applyFont="1" applyBorder="1" applyAlignment="1">
      <alignment horizontal="center"/>
      <protection/>
    </xf>
    <xf numFmtId="0" fontId="5" fillId="0" borderId="40" xfId="60" applyFont="1" applyBorder="1" applyAlignment="1">
      <alignment horizontal="center"/>
      <protection/>
    </xf>
    <xf numFmtId="0" fontId="5" fillId="0" borderId="36" xfId="60" applyFont="1" applyBorder="1" applyAlignment="1">
      <alignment horizontal="center"/>
      <protection/>
    </xf>
    <xf numFmtId="0" fontId="5" fillId="0" borderId="30" xfId="60" applyFont="1" applyBorder="1" applyAlignment="1">
      <alignment horizontal="center"/>
      <protection/>
    </xf>
    <xf numFmtId="0" fontId="5" fillId="0" borderId="38" xfId="60" applyFont="1" applyBorder="1" applyAlignment="1">
      <alignment horizontal="center"/>
      <protection/>
    </xf>
    <xf numFmtId="0" fontId="5" fillId="0" borderId="0" xfId="60" applyFont="1" applyBorder="1" applyAlignment="1">
      <alignment horizontal="center"/>
      <protection/>
    </xf>
    <xf numFmtId="0" fontId="5" fillId="0" borderId="39" xfId="60" applyFont="1" applyBorder="1" applyAlignment="1">
      <alignment horizontal="center"/>
      <protection/>
    </xf>
    <xf numFmtId="0" fontId="5" fillId="0" borderId="59" xfId="60" applyFont="1" applyBorder="1" applyAlignment="1">
      <alignment horizontal="center"/>
      <protection/>
    </xf>
    <xf numFmtId="0" fontId="5" fillId="0" borderId="60" xfId="60" applyFont="1" applyBorder="1" applyAlignment="1">
      <alignment horizontal="center"/>
      <protection/>
    </xf>
    <xf numFmtId="0" fontId="5" fillId="0" borderId="51" xfId="60" applyFont="1" applyBorder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133350</xdr:colOff>
      <xdr:row>10</xdr:row>
      <xdr:rowOff>85725</xdr:rowOff>
    </xdr:from>
    <xdr:ext cx="3114675" cy="571500"/>
    <xdr:sp>
      <xdr:nvSpPr>
        <xdr:cNvPr id="1" name="テキスト ボックス 3"/>
        <xdr:cNvSpPr txBox="1">
          <a:spLocks noChangeArrowheads="1"/>
        </xdr:cNvSpPr>
      </xdr:nvSpPr>
      <xdr:spPr>
        <a:xfrm>
          <a:off x="13420725" y="2438400"/>
          <a:ext cx="3114675" cy="571500"/>
        </a:xfrm>
        <a:prstGeom prst="rect">
          <a:avLst/>
        </a:prstGeom>
        <a:solidFill>
          <a:srgbClr val="BDD7EE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事故の場合記載不要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10</xdr:col>
      <xdr:colOff>38100</xdr:colOff>
      <xdr:row>11</xdr:row>
      <xdr:rowOff>66675</xdr:rowOff>
    </xdr:from>
    <xdr:ext cx="600075" cy="600075"/>
    <xdr:sp>
      <xdr:nvSpPr>
        <xdr:cNvPr id="2" name="テキスト ボックス 4"/>
        <xdr:cNvSpPr txBox="1">
          <a:spLocks noChangeArrowheads="1"/>
        </xdr:cNvSpPr>
      </xdr:nvSpPr>
      <xdr:spPr>
        <a:xfrm>
          <a:off x="8420100" y="3181350"/>
          <a:ext cx="600075" cy="600075"/>
        </a:xfrm>
        <a:prstGeom prst="rect">
          <a:avLst/>
        </a:prstGeom>
        <a:solidFill>
          <a:srgbClr val="BDD7EE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本線上の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場合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記載不要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4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171575"/>
          <a:ext cx="258127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showGridLines="0" tabSelected="1" zoomScale="70" zoomScaleNormal="70" zoomScaleSheetLayoutView="70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7.57421875" defaultRowHeight="18" customHeight="1"/>
  <cols>
    <col min="1" max="1" width="7.57421875" style="3" customWidth="1"/>
    <col min="2" max="5" width="6.140625" style="3" customWidth="1"/>
    <col min="6" max="8" width="9.28125" style="3" bestFit="1" customWidth="1"/>
    <col min="9" max="9" width="7.421875" style="3" bestFit="1" customWidth="1"/>
    <col min="10" max="10" width="5.57421875" style="3" bestFit="1" customWidth="1"/>
    <col min="11" max="11" width="10.8515625" style="3" bestFit="1" customWidth="1"/>
    <col min="12" max="12" width="6.8515625" style="3" bestFit="1" customWidth="1"/>
    <col min="13" max="14" width="10.140625" style="3" bestFit="1" customWidth="1"/>
    <col min="15" max="19" width="7.421875" style="3" bestFit="1" customWidth="1"/>
    <col min="20" max="20" width="11.140625" style="6" bestFit="1" customWidth="1"/>
    <col min="21" max="21" width="31.421875" style="3" bestFit="1" customWidth="1"/>
    <col min="22" max="16384" width="7.57421875" style="3" customWidth="1"/>
  </cols>
  <sheetData>
    <row r="1" spans="1:21" ht="18" customHeight="1">
      <c r="A1" s="27" t="s">
        <v>219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1"/>
    </row>
    <row r="3" spans="1:9" ht="18" customHeight="1">
      <c r="A3" s="4" t="s">
        <v>0</v>
      </c>
      <c r="B3" s="5"/>
      <c r="C3" s="5"/>
      <c r="D3" s="5"/>
      <c r="E3" s="5"/>
      <c r="F3" s="5" t="s">
        <v>1</v>
      </c>
      <c r="G3" s="5"/>
      <c r="H3" s="5"/>
      <c r="I3" s="5"/>
    </row>
    <row r="4" spans="1:8" ht="18" customHeight="1">
      <c r="A4" s="7"/>
      <c r="B4" s="8"/>
      <c r="C4" s="8"/>
      <c r="D4" s="8"/>
      <c r="E4" s="8"/>
      <c r="F4" s="8"/>
      <c r="G4" s="8"/>
      <c r="H4" s="8"/>
    </row>
    <row r="5" spans="1:9" ht="18" customHeight="1">
      <c r="A5" s="5" t="s">
        <v>2</v>
      </c>
      <c r="B5" s="5"/>
      <c r="C5" s="5"/>
      <c r="D5" s="5"/>
      <c r="E5" s="5"/>
      <c r="F5" s="5" t="s">
        <v>99</v>
      </c>
      <c r="G5" s="5"/>
      <c r="H5" s="5"/>
      <c r="I5" s="5"/>
    </row>
    <row r="6" spans="1:8" ht="18" customHeight="1">
      <c r="A6" s="7"/>
      <c r="B6" s="8"/>
      <c r="C6" s="8"/>
      <c r="D6" s="8"/>
      <c r="E6" s="8"/>
      <c r="F6" s="8"/>
      <c r="G6" s="8"/>
      <c r="H6" s="8"/>
    </row>
    <row r="7" spans="1:10" ht="18" customHeight="1">
      <c r="A7" s="5" t="s">
        <v>3</v>
      </c>
      <c r="B7" s="5"/>
      <c r="C7" s="5"/>
      <c r="D7" s="5"/>
      <c r="E7" s="5"/>
      <c r="F7" s="5" t="s">
        <v>4</v>
      </c>
      <c r="G7" s="5"/>
      <c r="H7" s="5"/>
      <c r="I7" s="5"/>
      <c r="J7" s="3" t="s">
        <v>105</v>
      </c>
    </row>
    <row r="8" ht="14.25" thickBot="1"/>
    <row r="9" spans="1:21" ht="18" customHeight="1">
      <c r="A9" s="126" t="s">
        <v>5</v>
      </c>
      <c r="B9" s="51" t="s">
        <v>6</v>
      </c>
      <c r="C9" s="52"/>
      <c r="D9" s="52"/>
      <c r="E9" s="52"/>
      <c r="F9" s="52"/>
      <c r="G9" s="53"/>
      <c r="H9" s="54"/>
      <c r="I9" s="126" t="s">
        <v>7</v>
      </c>
      <c r="J9" s="51" t="s">
        <v>8</v>
      </c>
      <c r="K9" s="52"/>
      <c r="L9" s="55"/>
      <c r="M9" s="128" t="s">
        <v>98</v>
      </c>
      <c r="N9" s="128" t="s">
        <v>106</v>
      </c>
      <c r="O9" s="51" t="s">
        <v>9</v>
      </c>
      <c r="P9" s="55"/>
      <c r="Q9" s="51" t="s">
        <v>10</v>
      </c>
      <c r="R9" s="52"/>
      <c r="S9" s="55"/>
      <c r="T9" s="130" t="s">
        <v>11</v>
      </c>
      <c r="U9" s="124" t="s">
        <v>89</v>
      </c>
    </row>
    <row r="10" spans="1:21" s="12" customFormat="1" ht="23.25" thickBot="1">
      <c r="A10" s="127"/>
      <c r="B10" s="43" t="s">
        <v>12</v>
      </c>
      <c r="C10" s="10" t="s">
        <v>13</v>
      </c>
      <c r="D10" s="10" t="s">
        <v>14</v>
      </c>
      <c r="E10" s="10" t="s">
        <v>15</v>
      </c>
      <c r="F10" s="11" t="s">
        <v>95</v>
      </c>
      <c r="G10" s="11" t="s">
        <v>96</v>
      </c>
      <c r="H10" s="44" t="s">
        <v>97</v>
      </c>
      <c r="I10" s="127"/>
      <c r="J10" s="43" t="s">
        <v>16</v>
      </c>
      <c r="K10" s="11" t="s">
        <v>17</v>
      </c>
      <c r="L10" s="44" t="s">
        <v>18</v>
      </c>
      <c r="M10" s="129"/>
      <c r="N10" s="129"/>
      <c r="O10" s="43" t="s">
        <v>19</v>
      </c>
      <c r="P10" s="47" t="s">
        <v>20</v>
      </c>
      <c r="Q10" s="43" t="s">
        <v>19</v>
      </c>
      <c r="R10" s="10" t="s">
        <v>21</v>
      </c>
      <c r="S10" s="47" t="s">
        <v>22</v>
      </c>
      <c r="T10" s="131"/>
      <c r="U10" s="125"/>
    </row>
    <row r="11" spans="1:21" s="31" customFormat="1" ht="18" customHeight="1" thickTop="1">
      <c r="A11" s="46"/>
      <c r="B11" s="42"/>
      <c r="C11" s="29"/>
      <c r="D11" s="29"/>
      <c r="E11" s="29"/>
      <c r="F11" s="30"/>
      <c r="G11" s="30"/>
      <c r="H11" s="45"/>
      <c r="I11" s="118"/>
      <c r="J11" s="119"/>
      <c r="K11" s="122"/>
      <c r="L11" s="123"/>
      <c r="M11" s="118"/>
      <c r="N11" s="118"/>
      <c r="O11" s="119"/>
      <c r="P11" s="121"/>
      <c r="Q11" s="119"/>
      <c r="R11" s="120"/>
      <c r="S11" s="121"/>
      <c r="T11" s="48"/>
      <c r="U11" s="56"/>
    </row>
    <row r="12" spans="1:21" s="31" customFormat="1" ht="18" customHeight="1">
      <c r="A12" s="46"/>
      <c r="B12" s="42"/>
      <c r="C12" s="29"/>
      <c r="D12" s="29"/>
      <c r="E12" s="29"/>
      <c r="F12" s="30"/>
      <c r="G12" s="30"/>
      <c r="H12" s="45"/>
      <c r="I12" s="118"/>
      <c r="J12" s="119"/>
      <c r="K12" s="122"/>
      <c r="L12" s="123"/>
      <c r="M12" s="118"/>
      <c r="N12" s="118"/>
      <c r="O12" s="119"/>
      <c r="P12" s="121"/>
      <c r="Q12" s="119"/>
      <c r="R12" s="120"/>
      <c r="S12" s="121"/>
      <c r="T12" s="48"/>
      <c r="U12" s="56"/>
    </row>
    <row r="13" spans="1:21" s="31" customFormat="1" ht="18" customHeight="1">
      <c r="A13" s="46"/>
      <c r="B13" s="42"/>
      <c r="C13" s="29"/>
      <c r="D13" s="29"/>
      <c r="E13" s="29"/>
      <c r="F13" s="30"/>
      <c r="G13" s="30"/>
      <c r="H13" s="45"/>
      <c r="I13" s="118"/>
      <c r="J13" s="119"/>
      <c r="K13" s="122"/>
      <c r="L13" s="123"/>
      <c r="M13" s="118"/>
      <c r="N13" s="118"/>
      <c r="O13" s="119"/>
      <c r="P13" s="121"/>
      <c r="Q13" s="119"/>
      <c r="R13" s="120"/>
      <c r="S13" s="121"/>
      <c r="T13" s="48"/>
      <c r="U13" s="56"/>
    </row>
    <row r="14" spans="1:21" s="31" customFormat="1" ht="18" customHeight="1">
      <c r="A14" s="46"/>
      <c r="B14" s="42"/>
      <c r="C14" s="29"/>
      <c r="D14" s="29"/>
      <c r="E14" s="29"/>
      <c r="F14" s="30"/>
      <c r="G14" s="30"/>
      <c r="H14" s="45"/>
      <c r="I14" s="118"/>
      <c r="J14" s="119"/>
      <c r="K14" s="122"/>
      <c r="L14" s="123"/>
      <c r="M14" s="118"/>
      <c r="N14" s="118"/>
      <c r="O14" s="119"/>
      <c r="P14" s="121"/>
      <c r="Q14" s="119"/>
      <c r="R14" s="120"/>
      <c r="S14" s="121"/>
      <c r="T14" s="48"/>
      <c r="U14" s="56"/>
    </row>
    <row r="15" spans="1:21" s="31" customFormat="1" ht="18" customHeight="1">
      <c r="A15" s="46"/>
      <c r="B15" s="42"/>
      <c r="C15" s="29"/>
      <c r="D15" s="29"/>
      <c r="E15" s="29"/>
      <c r="F15" s="30"/>
      <c r="G15" s="30"/>
      <c r="H15" s="45"/>
      <c r="I15" s="118"/>
      <c r="J15" s="119"/>
      <c r="K15" s="122"/>
      <c r="L15" s="123"/>
      <c r="M15" s="118"/>
      <c r="N15" s="118"/>
      <c r="O15" s="119"/>
      <c r="P15" s="121"/>
      <c r="Q15" s="119"/>
      <c r="R15" s="120"/>
      <c r="S15" s="121"/>
      <c r="T15" s="48"/>
      <c r="U15" s="56"/>
    </row>
    <row r="16" spans="1:21" s="31" customFormat="1" ht="18" customHeight="1">
      <c r="A16" s="46"/>
      <c r="B16" s="42"/>
      <c r="C16" s="29"/>
      <c r="D16" s="29"/>
      <c r="E16" s="29"/>
      <c r="F16" s="30"/>
      <c r="G16" s="30"/>
      <c r="H16" s="45"/>
      <c r="I16" s="118"/>
      <c r="J16" s="119"/>
      <c r="K16" s="122"/>
      <c r="L16" s="123"/>
      <c r="M16" s="118"/>
      <c r="N16" s="118"/>
      <c r="O16" s="119"/>
      <c r="P16" s="121"/>
      <c r="Q16" s="119"/>
      <c r="R16" s="120"/>
      <c r="S16" s="121"/>
      <c r="T16" s="48"/>
      <c r="U16" s="56"/>
    </row>
    <row r="17" spans="1:21" s="31" customFormat="1" ht="18" customHeight="1">
      <c r="A17" s="46"/>
      <c r="B17" s="42"/>
      <c r="C17" s="29"/>
      <c r="D17" s="29"/>
      <c r="E17" s="29"/>
      <c r="F17" s="30"/>
      <c r="G17" s="30"/>
      <c r="H17" s="45"/>
      <c r="I17" s="118"/>
      <c r="J17" s="119"/>
      <c r="K17" s="122"/>
      <c r="L17" s="123"/>
      <c r="M17" s="118"/>
      <c r="N17" s="118"/>
      <c r="O17" s="119"/>
      <c r="P17" s="121"/>
      <c r="Q17" s="119"/>
      <c r="R17" s="120"/>
      <c r="S17" s="121"/>
      <c r="T17" s="48"/>
      <c r="U17" s="56"/>
    </row>
    <row r="18" spans="1:21" s="31" customFormat="1" ht="18" customHeight="1">
      <c r="A18" s="46"/>
      <c r="B18" s="42"/>
      <c r="C18" s="29"/>
      <c r="D18" s="29"/>
      <c r="E18" s="29"/>
      <c r="F18" s="30"/>
      <c r="G18" s="30"/>
      <c r="H18" s="45"/>
      <c r="I18" s="118"/>
      <c r="J18" s="119"/>
      <c r="K18" s="122"/>
      <c r="L18" s="123"/>
      <c r="M18" s="118"/>
      <c r="N18" s="118"/>
      <c r="O18" s="119"/>
      <c r="P18" s="121"/>
      <c r="Q18" s="119"/>
      <c r="R18" s="120"/>
      <c r="S18" s="121"/>
      <c r="T18" s="48"/>
      <c r="U18" s="56"/>
    </row>
    <row r="19" spans="1:21" s="31" customFormat="1" ht="18" customHeight="1">
      <c r="A19" s="46"/>
      <c r="B19" s="42"/>
      <c r="C19" s="29"/>
      <c r="D19" s="29"/>
      <c r="E19" s="29"/>
      <c r="F19" s="30"/>
      <c r="G19" s="30"/>
      <c r="H19" s="45"/>
      <c r="I19" s="118"/>
      <c r="J19" s="119"/>
      <c r="K19" s="122"/>
      <c r="L19" s="123"/>
      <c r="M19" s="118"/>
      <c r="N19" s="118"/>
      <c r="O19" s="119"/>
      <c r="P19" s="121"/>
      <c r="Q19" s="119"/>
      <c r="R19" s="120"/>
      <c r="S19" s="121"/>
      <c r="T19" s="48"/>
      <c r="U19" s="56"/>
    </row>
    <row r="20" spans="1:21" s="31" customFormat="1" ht="18" customHeight="1">
      <c r="A20" s="46"/>
      <c r="B20" s="42"/>
      <c r="C20" s="29"/>
      <c r="D20" s="29"/>
      <c r="E20" s="29"/>
      <c r="F20" s="30"/>
      <c r="G20" s="30"/>
      <c r="H20" s="45"/>
      <c r="I20" s="118"/>
      <c r="J20" s="119"/>
      <c r="K20" s="122"/>
      <c r="L20" s="123"/>
      <c r="M20" s="118"/>
      <c r="N20" s="118"/>
      <c r="O20" s="119"/>
      <c r="P20" s="121"/>
      <c r="Q20" s="119"/>
      <c r="R20" s="120"/>
      <c r="S20" s="121"/>
      <c r="T20" s="48"/>
      <c r="U20" s="56"/>
    </row>
    <row r="21" spans="1:21" s="31" customFormat="1" ht="18" customHeight="1">
      <c r="A21" s="46"/>
      <c r="B21" s="42"/>
      <c r="C21" s="29"/>
      <c r="D21" s="29"/>
      <c r="E21" s="29"/>
      <c r="F21" s="30"/>
      <c r="G21" s="30"/>
      <c r="H21" s="45"/>
      <c r="I21" s="118"/>
      <c r="J21" s="119"/>
      <c r="K21" s="122"/>
      <c r="L21" s="123"/>
      <c r="M21" s="118"/>
      <c r="N21" s="118"/>
      <c r="O21" s="119"/>
      <c r="P21" s="121"/>
      <c r="Q21" s="119"/>
      <c r="R21" s="120"/>
      <c r="S21" s="121"/>
      <c r="T21" s="48"/>
      <c r="U21" s="56"/>
    </row>
    <row r="22" spans="1:21" s="31" customFormat="1" ht="18" customHeight="1">
      <c r="A22" s="46"/>
      <c r="B22" s="42"/>
      <c r="C22" s="29"/>
      <c r="D22" s="29"/>
      <c r="E22" s="29"/>
      <c r="F22" s="30"/>
      <c r="G22" s="30"/>
      <c r="H22" s="45"/>
      <c r="I22" s="118"/>
      <c r="J22" s="119"/>
      <c r="K22" s="122"/>
      <c r="L22" s="123"/>
      <c r="M22" s="118"/>
      <c r="N22" s="118"/>
      <c r="O22" s="119"/>
      <c r="P22" s="121"/>
      <c r="Q22" s="119"/>
      <c r="R22" s="120"/>
      <c r="S22" s="121"/>
      <c r="T22" s="48"/>
      <c r="U22" s="56"/>
    </row>
    <row r="23" spans="1:21" s="31" customFormat="1" ht="18" customHeight="1">
      <c r="A23" s="46"/>
      <c r="B23" s="42"/>
      <c r="C23" s="29"/>
      <c r="D23" s="29"/>
      <c r="E23" s="29"/>
      <c r="F23" s="30"/>
      <c r="G23" s="30"/>
      <c r="H23" s="45"/>
      <c r="I23" s="118"/>
      <c r="J23" s="119"/>
      <c r="K23" s="122"/>
      <c r="L23" s="123"/>
      <c r="M23" s="118"/>
      <c r="N23" s="118"/>
      <c r="O23" s="119"/>
      <c r="P23" s="121"/>
      <c r="Q23" s="119"/>
      <c r="R23" s="120"/>
      <c r="S23" s="121"/>
      <c r="T23" s="48"/>
      <c r="U23" s="56"/>
    </row>
    <row r="24" spans="1:21" s="31" customFormat="1" ht="18" customHeight="1">
      <c r="A24" s="46"/>
      <c r="B24" s="42"/>
      <c r="C24" s="29"/>
      <c r="D24" s="29"/>
      <c r="E24" s="29"/>
      <c r="F24" s="30"/>
      <c r="G24" s="30"/>
      <c r="H24" s="45"/>
      <c r="I24" s="118"/>
      <c r="J24" s="119"/>
      <c r="K24" s="122"/>
      <c r="L24" s="123"/>
      <c r="M24" s="118"/>
      <c r="N24" s="118"/>
      <c r="O24" s="119"/>
      <c r="P24" s="121"/>
      <c r="Q24" s="119"/>
      <c r="R24" s="120"/>
      <c r="S24" s="121"/>
      <c r="T24" s="48"/>
      <c r="U24" s="56"/>
    </row>
    <row r="25" spans="1:21" s="31" customFormat="1" ht="18" customHeight="1">
      <c r="A25" s="46"/>
      <c r="B25" s="42"/>
      <c r="C25" s="29"/>
      <c r="D25" s="29"/>
      <c r="E25" s="29"/>
      <c r="F25" s="30"/>
      <c r="G25" s="30"/>
      <c r="H25" s="45"/>
      <c r="I25" s="118"/>
      <c r="J25" s="119"/>
      <c r="K25" s="122"/>
      <c r="L25" s="123"/>
      <c r="M25" s="118"/>
      <c r="N25" s="118"/>
      <c r="O25" s="119"/>
      <c r="P25" s="121"/>
      <c r="Q25" s="119"/>
      <c r="R25" s="120"/>
      <c r="S25" s="121"/>
      <c r="T25" s="48"/>
      <c r="U25" s="56"/>
    </row>
    <row r="26" spans="1:21" s="31" customFormat="1" ht="18" customHeight="1">
      <c r="A26" s="46"/>
      <c r="B26" s="42"/>
      <c r="C26" s="29"/>
      <c r="D26" s="29"/>
      <c r="E26" s="29"/>
      <c r="F26" s="30"/>
      <c r="G26" s="30"/>
      <c r="H26" s="45"/>
      <c r="I26" s="118"/>
      <c r="J26" s="119"/>
      <c r="K26" s="122"/>
      <c r="L26" s="123"/>
      <c r="M26" s="118"/>
      <c r="N26" s="118"/>
      <c r="O26" s="119"/>
      <c r="P26" s="121"/>
      <c r="Q26" s="119"/>
      <c r="R26" s="120"/>
      <c r="S26" s="121"/>
      <c r="T26" s="48"/>
      <c r="U26" s="56"/>
    </row>
    <row r="27" spans="1:21" s="31" customFormat="1" ht="18" customHeight="1">
      <c r="A27" s="46"/>
      <c r="B27" s="42"/>
      <c r="C27" s="29"/>
      <c r="D27" s="29"/>
      <c r="E27" s="29"/>
      <c r="F27" s="30"/>
      <c r="G27" s="30"/>
      <c r="H27" s="45"/>
      <c r="I27" s="118"/>
      <c r="J27" s="119"/>
      <c r="K27" s="122"/>
      <c r="L27" s="123"/>
      <c r="M27" s="118"/>
      <c r="N27" s="118"/>
      <c r="O27" s="119"/>
      <c r="P27" s="121"/>
      <c r="Q27" s="119"/>
      <c r="R27" s="120"/>
      <c r="S27" s="121"/>
      <c r="T27" s="48"/>
      <c r="U27" s="56"/>
    </row>
    <row r="28" spans="1:21" s="31" customFormat="1" ht="18" customHeight="1">
      <c r="A28" s="46"/>
      <c r="B28" s="42"/>
      <c r="C28" s="29"/>
      <c r="D28" s="29"/>
      <c r="E28" s="29"/>
      <c r="F28" s="30"/>
      <c r="G28" s="30"/>
      <c r="H28" s="45"/>
      <c r="I28" s="118"/>
      <c r="J28" s="119"/>
      <c r="K28" s="122"/>
      <c r="L28" s="123"/>
      <c r="M28" s="118"/>
      <c r="N28" s="118"/>
      <c r="O28" s="119"/>
      <c r="P28" s="121"/>
      <c r="Q28" s="119"/>
      <c r="R28" s="120"/>
      <c r="S28" s="121"/>
      <c r="T28" s="48"/>
      <c r="U28" s="56"/>
    </row>
    <row r="29" spans="1:21" s="31" customFormat="1" ht="18" customHeight="1">
      <c r="A29" s="46"/>
      <c r="B29" s="42"/>
      <c r="C29" s="29"/>
      <c r="D29" s="29"/>
      <c r="E29" s="29"/>
      <c r="F29" s="30"/>
      <c r="G29" s="30"/>
      <c r="H29" s="45"/>
      <c r="I29" s="118"/>
      <c r="J29" s="119"/>
      <c r="K29" s="122"/>
      <c r="L29" s="123"/>
      <c r="M29" s="118"/>
      <c r="N29" s="118"/>
      <c r="O29" s="119"/>
      <c r="P29" s="121"/>
      <c r="Q29" s="119"/>
      <c r="R29" s="120"/>
      <c r="S29" s="121"/>
      <c r="T29" s="48"/>
      <c r="U29" s="56"/>
    </row>
    <row r="30" spans="1:21" s="31" customFormat="1" ht="18" customHeight="1">
      <c r="A30" s="46"/>
      <c r="B30" s="42"/>
      <c r="C30" s="29"/>
      <c r="D30" s="29"/>
      <c r="E30" s="29"/>
      <c r="F30" s="30"/>
      <c r="G30" s="30"/>
      <c r="H30" s="45"/>
      <c r="I30" s="118"/>
      <c r="J30" s="119"/>
      <c r="K30" s="122"/>
      <c r="L30" s="123"/>
      <c r="M30" s="118"/>
      <c r="N30" s="118"/>
      <c r="O30" s="119"/>
      <c r="P30" s="121"/>
      <c r="Q30" s="119"/>
      <c r="R30" s="120"/>
      <c r="S30" s="121"/>
      <c r="T30" s="48"/>
      <c r="U30" s="56"/>
    </row>
    <row r="31" spans="1:21" s="31" customFormat="1" ht="18" customHeight="1">
      <c r="A31" s="46"/>
      <c r="B31" s="42"/>
      <c r="C31" s="29"/>
      <c r="D31" s="29"/>
      <c r="E31" s="29"/>
      <c r="F31" s="30"/>
      <c r="G31" s="30"/>
      <c r="H31" s="45"/>
      <c r="I31" s="118"/>
      <c r="J31" s="119"/>
      <c r="K31" s="122"/>
      <c r="L31" s="123"/>
      <c r="M31" s="118"/>
      <c r="N31" s="118"/>
      <c r="O31" s="119"/>
      <c r="P31" s="121"/>
      <c r="Q31" s="119"/>
      <c r="R31" s="120"/>
      <c r="S31" s="121"/>
      <c r="T31" s="48"/>
      <c r="U31" s="56"/>
    </row>
    <row r="32" spans="1:21" s="31" customFormat="1" ht="18" customHeight="1">
      <c r="A32" s="46"/>
      <c r="B32" s="42"/>
      <c r="C32" s="29"/>
      <c r="D32" s="29"/>
      <c r="E32" s="29"/>
      <c r="F32" s="30"/>
      <c r="G32" s="30"/>
      <c r="H32" s="45"/>
      <c r="I32" s="118"/>
      <c r="J32" s="119"/>
      <c r="K32" s="122"/>
      <c r="L32" s="123"/>
      <c r="M32" s="118"/>
      <c r="N32" s="118"/>
      <c r="O32" s="119"/>
      <c r="P32" s="121"/>
      <c r="Q32" s="119"/>
      <c r="R32" s="120"/>
      <c r="S32" s="121"/>
      <c r="T32" s="48"/>
      <c r="U32" s="56"/>
    </row>
    <row r="33" spans="1:21" s="31" customFormat="1" ht="18" customHeight="1">
      <c r="A33" s="46"/>
      <c r="B33" s="42"/>
      <c r="C33" s="29"/>
      <c r="D33" s="29"/>
      <c r="E33" s="29"/>
      <c r="F33" s="30"/>
      <c r="G33" s="30"/>
      <c r="H33" s="45"/>
      <c r="I33" s="118"/>
      <c r="J33" s="119"/>
      <c r="K33" s="122"/>
      <c r="L33" s="123"/>
      <c r="M33" s="118"/>
      <c r="N33" s="118"/>
      <c r="O33" s="119"/>
      <c r="P33" s="121"/>
      <c r="Q33" s="119"/>
      <c r="R33" s="120"/>
      <c r="S33" s="121"/>
      <c r="T33" s="48"/>
      <c r="U33" s="56"/>
    </row>
    <row r="34" spans="1:21" s="31" customFormat="1" ht="18" customHeight="1">
      <c r="A34" s="46"/>
      <c r="B34" s="42"/>
      <c r="C34" s="29"/>
      <c r="D34" s="29"/>
      <c r="E34" s="29"/>
      <c r="F34" s="30"/>
      <c r="G34" s="30"/>
      <c r="H34" s="45"/>
      <c r="I34" s="118"/>
      <c r="J34" s="119"/>
      <c r="K34" s="122"/>
      <c r="L34" s="123"/>
      <c r="M34" s="118"/>
      <c r="N34" s="118"/>
      <c r="O34" s="119"/>
      <c r="P34" s="121"/>
      <c r="Q34" s="119"/>
      <c r="R34" s="120"/>
      <c r="S34" s="121"/>
      <c r="T34" s="48"/>
      <c r="U34" s="56"/>
    </row>
    <row r="35" spans="1:21" s="31" customFormat="1" ht="18" customHeight="1">
      <c r="A35" s="46"/>
      <c r="B35" s="42"/>
      <c r="C35" s="29"/>
      <c r="D35" s="29"/>
      <c r="E35" s="29"/>
      <c r="F35" s="30"/>
      <c r="G35" s="30"/>
      <c r="H35" s="45"/>
      <c r="I35" s="118"/>
      <c r="J35" s="119"/>
      <c r="K35" s="122"/>
      <c r="L35" s="123"/>
      <c r="M35" s="118"/>
      <c r="N35" s="118"/>
      <c r="O35" s="119"/>
      <c r="P35" s="121"/>
      <c r="Q35" s="119"/>
      <c r="R35" s="120"/>
      <c r="S35" s="121"/>
      <c r="T35" s="48"/>
      <c r="U35" s="56"/>
    </row>
    <row r="36" spans="1:21" s="31" customFormat="1" ht="18" customHeight="1">
      <c r="A36" s="46"/>
      <c r="B36" s="42"/>
      <c r="C36" s="29"/>
      <c r="D36" s="29"/>
      <c r="E36" s="29"/>
      <c r="F36" s="30"/>
      <c r="G36" s="30"/>
      <c r="H36" s="45"/>
      <c r="I36" s="118"/>
      <c r="J36" s="119"/>
      <c r="K36" s="122"/>
      <c r="L36" s="123"/>
      <c r="M36" s="118"/>
      <c r="N36" s="118"/>
      <c r="O36" s="119"/>
      <c r="P36" s="121"/>
      <c r="Q36" s="119"/>
      <c r="R36" s="120"/>
      <c r="S36" s="121"/>
      <c r="T36" s="48"/>
      <c r="U36" s="56"/>
    </row>
    <row r="37" spans="1:21" s="31" customFormat="1" ht="18" customHeight="1">
      <c r="A37" s="46"/>
      <c r="B37" s="42"/>
      <c r="C37" s="29"/>
      <c r="D37" s="29"/>
      <c r="E37" s="29"/>
      <c r="F37" s="30"/>
      <c r="G37" s="30"/>
      <c r="H37" s="45"/>
      <c r="I37" s="118"/>
      <c r="J37" s="119"/>
      <c r="K37" s="122"/>
      <c r="L37" s="123"/>
      <c r="M37" s="118"/>
      <c r="N37" s="118"/>
      <c r="O37" s="119"/>
      <c r="P37" s="121"/>
      <c r="Q37" s="119"/>
      <c r="R37" s="120"/>
      <c r="S37" s="121"/>
      <c r="T37" s="48"/>
      <c r="U37" s="56"/>
    </row>
    <row r="38" spans="1:21" s="31" customFormat="1" ht="18" customHeight="1">
      <c r="A38" s="46"/>
      <c r="B38" s="42"/>
      <c r="C38" s="29"/>
      <c r="D38" s="29"/>
      <c r="E38" s="29"/>
      <c r="F38" s="30"/>
      <c r="G38" s="30"/>
      <c r="H38" s="45"/>
      <c r="I38" s="118"/>
      <c r="J38" s="119"/>
      <c r="K38" s="122"/>
      <c r="L38" s="123"/>
      <c r="M38" s="118"/>
      <c r="N38" s="118"/>
      <c r="O38" s="119"/>
      <c r="P38" s="121"/>
      <c r="Q38" s="119"/>
      <c r="R38" s="120"/>
      <c r="S38" s="121"/>
      <c r="T38" s="48"/>
      <c r="U38" s="56"/>
    </row>
    <row r="39" spans="1:21" s="31" customFormat="1" ht="18" customHeight="1">
      <c r="A39" s="46"/>
      <c r="B39" s="42"/>
      <c r="C39" s="29"/>
      <c r="D39" s="29"/>
      <c r="E39" s="29"/>
      <c r="F39" s="30"/>
      <c r="G39" s="30"/>
      <c r="H39" s="45"/>
      <c r="I39" s="118"/>
      <c r="J39" s="119"/>
      <c r="K39" s="122"/>
      <c r="L39" s="123"/>
      <c r="M39" s="118"/>
      <c r="N39" s="118"/>
      <c r="O39" s="119"/>
      <c r="P39" s="121"/>
      <c r="Q39" s="119"/>
      <c r="R39" s="120"/>
      <c r="S39" s="121"/>
      <c r="T39" s="48"/>
      <c r="U39" s="56"/>
    </row>
    <row r="40" spans="1:21" s="31" customFormat="1" ht="18" customHeight="1">
      <c r="A40" s="46"/>
      <c r="B40" s="42"/>
      <c r="C40" s="29"/>
      <c r="D40" s="29"/>
      <c r="E40" s="29"/>
      <c r="F40" s="30"/>
      <c r="G40" s="30"/>
      <c r="H40" s="45"/>
      <c r="I40" s="118"/>
      <c r="J40" s="119"/>
      <c r="K40" s="122"/>
      <c r="L40" s="123"/>
      <c r="M40" s="118"/>
      <c r="N40" s="118"/>
      <c r="O40" s="119"/>
      <c r="P40" s="121"/>
      <c r="Q40" s="119"/>
      <c r="R40" s="120"/>
      <c r="S40" s="121"/>
      <c r="T40" s="48"/>
      <c r="U40" s="56"/>
    </row>
    <row r="41" spans="1:21" s="31" customFormat="1" ht="18" customHeight="1">
      <c r="A41" s="46"/>
      <c r="B41" s="42"/>
      <c r="C41" s="29"/>
      <c r="D41" s="29"/>
      <c r="E41" s="29"/>
      <c r="F41" s="30"/>
      <c r="G41" s="30"/>
      <c r="H41" s="45"/>
      <c r="I41" s="118"/>
      <c r="J41" s="119"/>
      <c r="K41" s="122"/>
      <c r="L41" s="123"/>
      <c r="M41" s="118"/>
      <c r="N41" s="118"/>
      <c r="O41" s="119"/>
      <c r="P41" s="121"/>
      <c r="Q41" s="119"/>
      <c r="R41" s="120"/>
      <c r="S41" s="121"/>
      <c r="T41" s="48"/>
      <c r="U41" s="56"/>
    </row>
    <row r="42" spans="1:21" s="31" customFormat="1" ht="18" customHeight="1">
      <c r="A42" s="46"/>
      <c r="B42" s="42"/>
      <c r="C42" s="29"/>
      <c r="D42" s="29"/>
      <c r="E42" s="29"/>
      <c r="F42" s="30"/>
      <c r="G42" s="30"/>
      <c r="H42" s="45"/>
      <c r="I42" s="118"/>
      <c r="J42" s="119"/>
      <c r="K42" s="122"/>
      <c r="L42" s="123"/>
      <c r="M42" s="118"/>
      <c r="N42" s="118"/>
      <c r="O42" s="119"/>
      <c r="P42" s="121"/>
      <c r="Q42" s="119"/>
      <c r="R42" s="120"/>
      <c r="S42" s="121"/>
      <c r="T42" s="48"/>
      <c r="U42" s="56"/>
    </row>
    <row r="43" spans="1:21" s="31" customFormat="1" ht="18" customHeight="1">
      <c r="A43" s="46"/>
      <c r="B43" s="42"/>
      <c r="C43" s="29"/>
      <c r="D43" s="29"/>
      <c r="E43" s="29"/>
      <c r="F43" s="30"/>
      <c r="G43" s="30"/>
      <c r="H43" s="45"/>
      <c r="I43" s="118"/>
      <c r="J43" s="119"/>
      <c r="K43" s="122"/>
      <c r="L43" s="123"/>
      <c r="M43" s="118"/>
      <c r="N43" s="118"/>
      <c r="O43" s="119"/>
      <c r="P43" s="121"/>
      <c r="Q43" s="119"/>
      <c r="R43" s="120"/>
      <c r="S43" s="121"/>
      <c r="T43" s="48"/>
      <c r="U43" s="56"/>
    </row>
    <row r="45" ht="18" customHeight="1">
      <c r="A45" s="116"/>
    </row>
  </sheetData>
  <sheetProtection/>
  <mergeCells count="6">
    <mergeCell ref="U9:U10"/>
    <mergeCell ref="A9:A10"/>
    <mergeCell ref="I9:I10"/>
    <mergeCell ref="M9:M10"/>
    <mergeCell ref="T9:T10"/>
    <mergeCell ref="N9:N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view="pageBreakPreview" zoomScale="70" zoomScaleNormal="70" zoomScaleSheetLayoutView="70" zoomScalePageLayoutView="0" workbookViewId="0" topLeftCell="A1">
      <selection activeCell="I47" sqref="I47:S53"/>
    </sheetView>
  </sheetViews>
  <sheetFormatPr defaultColWidth="7.57421875" defaultRowHeight="18" customHeight="1"/>
  <cols>
    <col min="1" max="1" width="34.00390625" style="3" bestFit="1" customWidth="1"/>
    <col min="2" max="5" width="6.140625" style="3" customWidth="1"/>
    <col min="6" max="8" width="9.28125" style="3" bestFit="1" customWidth="1"/>
    <col min="9" max="9" width="27.57421875" style="3" bestFit="1" customWidth="1"/>
    <col min="10" max="10" width="11.7109375" style="3" customWidth="1"/>
    <col min="11" max="11" width="10.8515625" style="3" bestFit="1" customWidth="1"/>
    <col min="12" max="12" width="6.421875" style="3" bestFit="1" customWidth="1"/>
    <col min="13" max="13" width="10.140625" style="3" bestFit="1" customWidth="1"/>
    <col min="14" max="14" width="23.140625" style="3" customWidth="1"/>
    <col min="15" max="15" width="9.140625" style="3" bestFit="1" customWidth="1"/>
    <col min="16" max="16" width="13.8515625" style="3" bestFit="1" customWidth="1"/>
    <col min="17" max="17" width="18.140625" style="3" bestFit="1" customWidth="1"/>
    <col min="18" max="18" width="11.140625" style="3" customWidth="1"/>
    <col min="19" max="19" width="26.00390625" style="3" bestFit="1" customWidth="1"/>
    <col min="20" max="20" width="11.140625" style="6" bestFit="1" customWidth="1"/>
    <col min="21" max="21" width="31.421875" style="3" bestFit="1" customWidth="1"/>
    <col min="22" max="16384" width="7.57421875" style="3" customWidth="1"/>
  </cols>
  <sheetData>
    <row r="1" spans="1:21" ht="18" customHeight="1">
      <c r="A1" s="27" t="s">
        <v>102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1"/>
    </row>
    <row r="3" spans="1:9" ht="18" customHeight="1">
      <c r="A3" s="4" t="s">
        <v>0</v>
      </c>
      <c r="B3" s="5"/>
      <c r="C3" s="5"/>
      <c r="D3" s="5"/>
      <c r="E3" s="5"/>
      <c r="F3" s="5" t="s">
        <v>1</v>
      </c>
      <c r="G3" s="5"/>
      <c r="H3" s="5"/>
      <c r="I3" s="5"/>
    </row>
    <row r="4" spans="1:8" ht="18" customHeight="1">
      <c r="A4" s="7"/>
      <c r="B4" s="8"/>
      <c r="C4" s="8"/>
      <c r="D4" s="8"/>
      <c r="E4" s="8"/>
      <c r="F4" s="8"/>
      <c r="G4" s="8"/>
      <c r="H4" s="8"/>
    </row>
    <row r="5" spans="1:9" ht="18" customHeight="1">
      <c r="A5" s="5" t="s">
        <v>2</v>
      </c>
      <c r="B5" s="5"/>
      <c r="C5" s="5"/>
      <c r="D5" s="5"/>
      <c r="E5" s="5"/>
      <c r="F5" s="5" t="s">
        <v>99</v>
      </c>
      <c r="G5" s="5"/>
      <c r="H5" s="5"/>
      <c r="I5" s="5"/>
    </row>
    <row r="6" spans="1:8" ht="18" customHeight="1">
      <c r="A6" s="7"/>
      <c r="B6" s="8"/>
      <c r="C6" s="8"/>
      <c r="D6" s="8"/>
      <c r="E6" s="8"/>
      <c r="F6" s="8"/>
      <c r="G6" s="8"/>
      <c r="H6" s="8"/>
    </row>
    <row r="7" spans="1:10" ht="18" customHeight="1">
      <c r="A7" s="5" t="s">
        <v>3</v>
      </c>
      <c r="B7" s="5"/>
      <c r="C7" s="5"/>
      <c r="D7" s="5"/>
      <c r="E7" s="5"/>
      <c r="F7" s="5" t="s">
        <v>4</v>
      </c>
      <c r="G7" s="5"/>
      <c r="H7" s="5"/>
      <c r="I7" s="5"/>
      <c r="J7" s="3" t="s">
        <v>105</v>
      </c>
    </row>
    <row r="8" ht="18" customHeight="1">
      <c r="J8" s="116"/>
    </row>
    <row r="9" spans="1:21" ht="18" customHeight="1">
      <c r="A9" s="136" t="s">
        <v>23</v>
      </c>
      <c r="B9" s="9" t="s">
        <v>6</v>
      </c>
      <c r="C9" s="9"/>
      <c r="D9" s="9"/>
      <c r="E9" s="9"/>
      <c r="F9" s="9"/>
      <c r="G9" s="28"/>
      <c r="H9" s="28"/>
      <c r="I9" s="136" t="s">
        <v>7</v>
      </c>
      <c r="J9" s="9" t="s">
        <v>8</v>
      </c>
      <c r="K9" s="9"/>
      <c r="L9" s="9"/>
      <c r="M9" s="138" t="s">
        <v>98</v>
      </c>
      <c r="N9" s="138" t="s">
        <v>106</v>
      </c>
      <c r="O9" s="9" t="s">
        <v>9</v>
      </c>
      <c r="P9" s="9"/>
      <c r="Q9" s="9" t="s">
        <v>10</v>
      </c>
      <c r="R9" s="9"/>
      <c r="S9" s="9"/>
      <c r="T9" s="133" t="s">
        <v>11</v>
      </c>
      <c r="U9" s="138" t="s">
        <v>89</v>
      </c>
    </row>
    <row r="10" spans="1:21" s="12" customFormat="1" ht="23.25" thickBot="1">
      <c r="A10" s="137"/>
      <c r="B10" s="10" t="s">
        <v>12</v>
      </c>
      <c r="C10" s="10" t="s">
        <v>13</v>
      </c>
      <c r="D10" s="10" t="s">
        <v>14</v>
      </c>
      <c r="E10" s="10" t="s">
        <v>15</v>
      </c>
      <c r="F10" s="11" t="s">
        <v>95</v>
      </c>
      <c r="G10" s="11" t="s">
        <v>96</v>
      </c>
      <c r="H10" s="11" t="s">
        <v>97</v>
      </c>
      <c r="I10" s="137"/>
      <c r="J10" s="10" t="s">
        <v>16</v>
      </c>
      <c r="K10" s="11" t="s">
        <v>17</v>
      </c>
      <c r="L10" s="11" t="s">
        <v>18</v>
      </c>
      <c r="M10" s="139"/>
      <c r="N10" s="139"/>
      <c r="O10" s="10" t="s">
        <v>19</v>
      </c>
      <c r="P10" s="10" t="s">
        <v>20</v>
      </c>
      <c r="Q10" s="10" t="s">
        <v>19</v>
      </c>
      <c r="R10" s="10" t="s">
        <v>21</v>
      </c>
      <c r="S10" s="10" t="s">
        <v>22</v>
      </c>
      <c r="T10" s="134"/>
      <c r="U10" s="137"/>
    </row>
    <row r="11" spans="1:21" ht="60" customHeight="1" thickTop="1">
      <c r="A11" s="50" t="s">
        <v>104</v>
      </c>
      <c r="B11" s="39">
        <v>2017</v>
      </c>
      <c r="C11" s="39">
        <v>4</v>
      </c>
      <c r="D11" s="39">
        <v>1</v>
      </c>
      <c r="E11" s="39" t="s">
        <v>24</v>
      </c>
      <c r="F11" s="40">
        <v>0.21041666666666667</v>
      </c>
      <c r="G11" s="40">
        <v>0.22569444444444445</v>
      </c>
      <c r="H11" s="40">
        <v>0.2604166666666667</v>
      </c>
      <c r="I11" s="39">
        <v>3</v>
      </c>
      <c r="J11" s="39">
        <v>1</v>
      </c>
      <c r="K11" s="39" t="s">
        <v>100</v>
      </c>
      <c r="L11" s="39" t="s">
        <v>101</v>
      </c>
      <c r="M11" s="39">
        <v>1</v>
      </c>
      <c r="N11" s="39">
        <v>1</v>
      </c>
      <c r="O11" s="39">
        <v>2</v>
      </c>
      <c r="P11" s="39">
        <v>1</v>
      </c>
      <c r="Q11" s="39"/>
      <c r="R11" s="39"/>
      <c r="S11" s="39"/>
      <c r="T11" s="41">
        <v>67890</v>
      </c>
      <c r="U11" s="39"/>
    </row>
    <row r="12" spans="1:21" ht="60" customHeight="1">
      <c r="A12" s="49" t="s">
        <v>103</v>
      </c>
      <c r="B12" s="35">
        <v>2017</v>
      </c>
      <c r="C12" s="35">
        <v>4</v>
      </c>
      <c r="D12" s="35">
        <v>2</v>
      </c>
      <c r="E12" s="35" t="s">
        <v>14</v>
      </c>
      <c r="F12" s="36">
        <v>0.8333333333333334</v>
      </c>
      <c r="G12" s="36">
        <v>0.8541666666666666</v>
      </c>
      <c r="H12" s="36">
        <v>0.875</v>
      </c>
      <c r="I12" s="35">
        <v>1</v>
      </c>
      <c r="J12" s="35">
        <v>2</v>
      </c>
      <c r="K12" s="35"/>
      <c r="L12" s="37">
        <v>10.5</v>
      </c>
      <c r="M12" s="35">
        <v>2</v>
      </c>
      <c r="N12" s="35">
        <v>3</v>
      </c>
      <c r="O12" s="35">
        <v>4</v>
      </c>
      <c r="P12" s="35">
        <v>2</v>
      </c>
      <c r="Q12" s="35">
        <v>1</v>
      </c>
      <c r="R12" s="35">
        <v>3</v>
      </c>
      <c r="S12" s="35">
        <v>4</v>
      </c>
      <c r="T12" s="38">
        <v>12345</v>
      </c>
      <c r="U12" s="35"/>
    </row>
    <row r="13" s="13" customFormat="1" ht="18" customHeight="1">
      <c r="T13" s="14"/>
    </row>
    <row r="14" spans="1:21" s="20" customFormat="1" ht="18" customHeight="1" thickBot="1">
      <c r="A14" s="15"/>
      <c r="B14" s="15"/>
      <c r="C14" s="15"/>
      <c r="D14" s="15"/>
      <c r="E14" s="15"/>
      <c r="F14" s="15"/>
      <c r="G14" s="15"/>
      <c r="H14" s="15"/>
      <c r="I14" s="16" t="s">
        <v>25</v>
      </c>
      <c r="J14" s="17" t="s">
        <v>25</v>
      </c>
      <c r="K14" s="32" t="s">
        <v>90</v>
      </c>
      <c r="L14" s="15"/>
      <c r="M14" s="16" t="s">
        <v>25</v>
      </c>
      <c r="N14" s="16" t="s">
        <v>25</v>
      </c>
      <c r="O14" s="18" t="s">
        <v>25</v>
      </c>
      <c r="P14" s="16"/>
      <c r="Q14" s="16" t="s">
        <v>25</v>
      </c>
      <c r="R14" s="16"/>
      <c r="S14" s="16"/>
      <c r="T14" s="19"/>
      <c r="U14" s="15"/>
    </row>
    <row r="15" spans="1:21" s="20" customFormat="1" ht="18" customHeight="1" thickTop="1">
      <c r="A15" s="15"/>
      <c r="B15" s="15"/>
      <c r="C15" s="15"/>
      <c r="D15" s="15"/>
      <c r="E15" s="15"/>
      <c r="F15" s="15"/>
      <c r="G15" s="15"/>
      <c r="H15" s="15"/>
      <c r="I15" s="22" t="s">
        <v>26</v>
      </c>
      <c r="J15" s="22" t="s">
        <v>27</v>
      </c>
      <c r="K15" s="33" t="s">
        <v>91</v>
      </c>
      <c r="L15" s="15"/>
      <c r="M15" s="23" t="s">
        <v>30</v>
      </c>
      <c r="N15" s="23" t="s">
        <v>107</v>
      </c>
      <c r="O15" s="135" t="s">
        <v>28</v>
      </c>
      <c r="P15" s="22" t="s">
        <v>29</v>
      </c>
      <c r="Q15" s="135" t="s">
        <v>31</v>
      </c>
      <c r="R15" s="135" t="s">
        <v>32</v>
      </c>
      <c r="S15" s="22" t="s">
        <v>33</v>
      </c>
      <c r="T15" s="24"/>
      <c r="U15" s="15"/>
    </row>
    <row r="16" spans="1:21" s="20" customFormat="1" ht="18" customHeight="1">
      <c r="A16" s="15"/>
      <c r="B16" s="15"/>
      <c r="C16" s="15"/>
      <c r="D16" s="15"/>
      <c r="E16" s="15"/>
      <c r="F16" s="15"/>
      <c r="G16" s="15"/>
      <c r="H16" s="15"/>
      <c r="I16" s="25" t="s">
        <v>34</v>
      </c>
      <c r="J16" s="25" t="s">
        <v>35</v>
      </c>
      <c r="K16" s="34" t="s">
        <v>92</v>
      </c>
      <c r="L16" s="15"/>
      <c r="M16" s="26" t="s">
        <v>37</v>
      </c>
      <c r="N16" s="23" t="s">
        <v>108</v>
      </c>
      <c r="O16" s="132"/>
      <c r="P16" s="25" t="s">
        <v>36</v>
      </c>
      <c r="Q16" s="132"/>
      <c r="R16" s="132"/>
      <c r="S16" s="25" t="s">
        <v>38</v>
      </c>
      <c r="T16" s="24"/>
      <c r="U16" s="15"/>
    </row>
    <row r="17" spans="1:21" s="20" customFormat="1" ht="18" customHeight="1">
      <c r="A17" s="15"/>
      <c r="B17" s="15"/>
      <c r="C17" s="15"/>
      <c r="D17" s="15"/>
      <c r="E17" s="15"/>
      <c r="F17" s="15"/>
      <c r="G17" s="15"/>
      <c r="H17" s="15"/>
      <c r="I17" s="25" t="s">
        <v>39</v>
      </c>
      <c r="J17" s="25" t="s">
        <v>40</v>
      </c>
      <c r="K17" s="34" t="s">
        <v>93</v>
      </c>
      <c r="L17" s="15"/>
      <c r="M17" s="15"/>
      <c r="N17" s="23" t="s">
        <v>109</v>
      </c>
      <c r="O17" s="132"/>
      <c r="P17" s="25" t="s">
        <v>41</v>
      </c>
      <c r="Q17" s="132"/>
      <c r="R17" s="132"/>
      <c r="S17" s="25" t="s">
        <v>42</v>
      </c>
      <c r="T17" s="24"/>
      <c r="U17" s="15"/>
    </row>
    <row r="18" spans="1:21" s="20" customFormat="1" ht="18" customHeight="1">
      <c r="A18" s="15"/>
      <c r="B18" s="15"/>
      <c r="C18" s="15"/>
      <c r="D18" s="15"/>
      <c r="E18" s="15"/>
      <c r="F18" s="15"/>
      <c r="G18" s="15"/>
      <c r="H18" s="15"/>
      <c r="I18" s="25" t="s">
        <v>43</v>
      </c>
      <c r="J18" s="25" t="s">
        <v>44</v>
      </c>
      <c r="K18" s="34" t="s">
        <v>94</v>
      </c>
      <c r="L18" s="15"/>
      <c r="M18" s="15"/>
      <c r="N18" s="15"/>
      <c r="O18" s="132" t="s">
        <v>45</v>
      </c>
      <c r="P18" s="25" t="s">
        <v>46</v>
      </c>
      <c r="Q18" s="132"/>
      <c r="R18" s="132"/>
      <c r="S18" s="25" t="s">
        <v>47</v>
      </c>
      <c r="T18" s="24"/>
      <c r="U18" s="15"/>
    </row>
    <row r="19" spans="1:21" s="20" customFormat="1" ht="18" customHeight="1">
      <c r="A19" s="15"/>
      <c r="B19" s="15"/>
      <c r="C19" s="15"/>
      <c r="D19" s="15"/>
      <c r="E19" s="15"/>
      <c r="F19" s="15"/>
      <c r="G19" s="15"/>
      <c r="H19" s="15"/>
      <c r="I19" s="15"/>
      <c r="J19" s="25" t="s">
        <v>48</v>
      </c>
      <c r="K19" s="21"/>
      <c r="L19" s="15"/>
      <c r="M19" s="15"/>
      <c r="N19" s="15"/>
      <c r="O19" s="132"/>
      <c r="P19" s="25" t="s">
        <v>49</v>
      </c>
      <c r="Q19" s="132"/>
      <c r="R19" s="132"/>
      <c r="S19" s="25" t="s">
        <v>50</v>
      </c>
      <c r="T19" s="24"/>
      <c r="U19" s="15"/>
    </row>
    <row r="20" spans="1:21" s="20" customFormat="1" ht="18" customHeight="1">
      <c r="A20" s="15"/>
      <c r="B20" s="15"/>
      <c r="C20" s="15"/>
      <c r="D20" s="15"/>
      <c r="E20" s="15"/>
      <c r="F20" s="15"/>
      <c r="G20" s="15"/>
      <c r="H20" s="15"/>
      <c r="I20" s="15"/>
      <c r="J20" s="25" t="s">
        <v>88</v>
      </c>
      <c r="K20" s="15"/>
      <c r="L20" s="15"/>
      <c r="M20" s="15"/>
      <c r="N20" s="15"/>
      <c r="O20" s="132" t="s">
        <v>51</v>
      </c>
      <c r="P20" s="25" t="s">
        <v>52</v>
      </c>
      <c r="Q20" s="132"/>
      <c r="R20" s="132" t="s">
        <v>53</v>
      </c>
      <c r="S20" s="25" t="s">
        <v>54</v>
      </c>
      <c r="T20" s="24"/>
      <c r="U20" s="15"/>
    </row>
    <row r="21" spans="1:21" s="20" customFormat="1" ht="18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32"/>
      <c r="P21" s="25" t="s">
        <v>55</v>
      </c>
      <c r="Q21" s="132"/>
      <c r="R21" s="132"/>
      <c r="S21" s="25" t="s">
        <v>50</v>
      </c>
      <c r="T21" s="24"/>
      <c r="U21" s="15"/>
    </row>
    <row r="22" spans="1:21" s="20" customFormat="1" ht="18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32"/>
      <c r="P22" s="25" t="s">
        <v>56</v>
      </c>
      <c r="Q22" s="132"/>
      <c r="R22" s="132" t="s">
        <v>57</v>
      </c>
      <c r="S22" s="25" t="s">
        <v>58</v>
      </c>
      <c r="T22" s="24"/>
      <c r="U22" s="15"/>
    </row>
    <row r="23" spans="1:21" s="20" customFormat="1" ht="18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32" t="s">
        <v>59</v>
      </c>
      <c r="P23" s="25" t="s">
        <v>60</v>
      </c>
      <c r="Q23" s="132"/>
      <c r="R23" s="132"/>
      <c r="S23" s="25" t="s">
        <v>61</v>
      </c>
      <c r="T23" s="24"/>
      <c r="U23" s="15"/>
    </row>
    <row r="24" spans="1:21" s="20" customFormat="1" ht="18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32"/>
      <c r="P24" s="25" t="s">
        <v>62</v>
      </c>
      <c r="Q24" s="132"/>
      <c r="R24" s="132"/>
      <c r="S24" s="25" t="s">
        <v>63</v>
      </c>
      <c r="T24" s="24"/>
      <c r="U24" s="15"/>
    </row>
    <row r="25" spans="1:21" s="20" customFormat="1" ht="18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32"/>
      <c r="P25" s="25" t="s">
        <v>64</v>
      </c>
      <c r="Q25" s="132"/>
      <c r="R25" s="132"/>
      <c r="S25" s="25" t="s">
        <v>65</v>
      </c>
      <c r="T25" s="24"/>
      <c r="U25" s="15"/>
    </row>
    <row r="26" spans="1:21" s="20" customFormat="1" ht="18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32"/>
      <c r="P26" s="25" t="s">
        <v>66</v>
      </c>
      <c r="Q26" s="132"/>
      <c r="R26" s="132"/>
      <c r="S26" s="25" t="s">
        <v>50</v>
      </c>
      <c r="T26" s="24"/>
      <c r="U26" s="15"/>
    </row>
    <row r="27" spans="1:21" s="20" customFormat="1" ht="18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25" t="s">
        <v>67</v>
      </c>
      <c r="P27" s="25" t="s">
        <v>68</v>
      </c>
      <c r="Q27" s="132"/>
      <c r="R27" s="132" t="s">
        <v>69</v>
      </c>
      <c r="S27" s="25" t="s">
        <v>70</v>
      </c>
      <c r="T27" s="24"/>
      <c r="U27" s="15"/>
    </row>
    <row r="28" spans="1:21" s="20" customFormat="1" ht="18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25" t="s">
        <v>43</v>
      </c>
      <c r="P28" s="25" t="s">
        <v>43</v>
      </c>
      <c r="Q28" s="132"/>
      <c r="R28" s="132"/>
      <c r="S28" s="25" t="s">
        <v>71</v>
      </c>
      <c r="T28" s="24"/>
      <c r="U28" s="15"/>
    </row>
    <row r="29" spans="1:21" s="20" customFormat="1" ht="18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25" t="s">
        <v>72</v>
      </c>
      <c r="P29" s="25" t="s">
        <v>72</v>
      </c>
      <c r="Q29" s="132"/>
      <c r="R29" s="132"/>
      <c r="S29" s="25" t="s">
        <v>73</v>
      </c>
      <c r="T29" s="24"/>
      <c r="U29" s="15"/>
    </row>
    <row r="30" spans="1:21" s="20" customFormat="1" ht="18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32"/>
      <c r="R30" s="132"/>
      <c r="S30" s="25" t="s">
        <v>74</v>
      </c>
      <c r="T30" s="24"/>
      <c r="U30" s="15"/>
    </row>
    <row r="31" spans="1:21" s="20" customFormat="1" ht="18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32"/>
      <c r="R31" s="132"/>
      <c r="S31" s="25" t="s">
        <v>75</v>
      </c>
      <c r="T31" s="24"/>
      <c r="U31" s="15"/>
    </row>
    <row r="32" spans="1:21" s="20" customFormat="1" ht="18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32"/>
      <c r="R32" s="132"/>
      <c r="S32" s="25" t="s">
        <v>50</v>
      </c>
      <c r="T32" s="24"/>
      <c r="U32" s="15"/>
    </row>
    <row r="33" spans="1:21" s="20" customFormat="1" ht="18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32"/>
      <c r="R33" s="25" t="s">
        <v>50</v>
      </c>
      <c r="S33" s="25" t="s">
        <v>50</v>
      </c>
      <c r="T33" s="24"/>
      <c r="U33" s="15"/>
    </row>
    <row r="34" spans="1:21" s="20" customFormat="1" ht="18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32" t="s">
        <v>76</v>
      </c>
      <c r="R34" s="132" t="s">
        <v>77</v>
      </c>
      <c r="S34" s="25" t="s">
        <v>78</v>
      </c>
      <c r="T34" s="24"/>
      <c r="U34" s="15"/>
    </row>
    <row r="35" spans="1:21" s="20" customFormat="1" ht="18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32"/>
      <c r="R35" s="132"/>
      <c r="S35" s="25" t="s">
        <v>79</v>
      </c>
      <c r="T35" s="24"/>
      <c r="U35" s="15"/>
    </row>
    <row r="36" spans="1:21" s="20" customFormat="1" ht="18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32"/>
      <c r="R36" s="132"/>
      <c r="S36" s="25" t="s">
        <v>80</v>
      </c>
      <c r="T36" s="24"/>
      <c r="U36" s="15"/>
    </row>
    <row r="37" spans="1:21" s="20" customFormat="1" ht="18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32"/>
      <c r="R37" s="132"/>
      <c r="S37" s="25" t="s">
        <v>81</v>
      </c>
      <c r="T37" s="24"/>
      <c r="U37" s="15"/>
    </row>
    <row r="38" spans="1:21" s="20" customFormat="1" ht="18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32"/>
      <c r="R38" s="132"/>
      <c r="S38" s="25" t="s">
        <v>82</v>
      </c>
      <c r="T38" s="24"/>
      <c r="U38" s="15"/>
    </row>
    <row r="39" spans="1:21" s="20" customFormat="1" ht="18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32"/>
      <c r="R39" s="132"/>
      <c r="S39" s="25" t="s">
        <v>83</v>
      </c>
      <c r="T39" s="24"/>
      <c r="U39" s="15"/>
    </row>
    <row r="40" spans="1:21" s="20" customFormat="1" ht="18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32"/>
      <c r="R40" s="132"/>
      <c r="S40" s="25" t="s">
        <v>50</v>
      </c>
      <c r="T40" s="24"/>
      <c r="U40" s="15"/>
    </row>
    <row r="41" spans="1:21" s="20" customFormat="1" ht="18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32"/>
      <c r="R41" s="132" t="s">
        <v>50</v>
      </c>
      <c r="S41" s="25" t="s">
        <v>84</v>
      </c>
      <c r="T41" s="24"/>
      <c r="U41" s="15"/>
    </row>
    <row r="42" spans="1:21" s="20" customFormat="1" ht="18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32"/>
      <c r="R42" s="132"/>
      <c r="S42" s="25" t="s">
        <v>85</v>
      </c>
      <c r="T42" s="24"/>
      <c r="U42" s="15"/>
    </row>
    <row r="43" spans="1:21" s="20" customFormat="1" ht="18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32"/>
      <c r="R43" s="132"/>
      <c r="S43" s="25" t="s">
        <v>86</v>
      </c>
      <c r="T43" s="24"/>
      <c r="U43" s="15"/>
    </row>
    <row r="44" spans="1:21" s="20" customFormat="1" ht="18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32"/>
      <c r="R44" s="132"/>
      <c r="S44" s="25" t="s">
        <v>87</v>
      </c>
      <c r="T44" s="24"/>
      <c r="U44" s="15"/>
    </row>
    <row r="45" spans="1:21" s="20" customFormat="1" ht="18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32"/>
      <c r="R45" s="132"/>
      <c r="S45" s="25" t="s">
        <v>50</v>
      </c>
      <c r="T45" s="24"/>
      <c r="U45" s="15"/>
    </row>
    <row r="46" spans="1:21" s="20" customFormat="1" ht="18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21"/>
      <c r="R46" s="21"/>
      <c r="S46" s="21"/>
      <c r="T46" s="24"/>
      <c r="U46" s="15"/>
    </row>
    <row r="47" spans="9:19" ht="18" customHeight="1">
      <c r="I47" s="117">
        <v>1</v>
      </c>
      <c r="J47" s="117">
        <v>1</v>
      </c>
      <c r="K47" s="117"/>
      <c r="L47" s="117"/>
      <c r="M47" s="117">
        <v>1</v>
      </c>
      <c r="N47" s="117">
        <v>1</v>
      </c>
      <c r="O47" s="117">
        <v>1</v>
      </c>
      <c r="P47" s="117">
        <v>1</v>
      </c>
      <c r="Q47" s="117">
        <v>1</v>
      </c>
      <c r="R47" s="117">
        <v>1</v>
      </c>
      <c r="S47" s="117">
        <v>1</v>
      </c>
    </row>
    <row r="48" spans="9:19" ht="18" customHeight="1">
      <c r="I48" s="117">
        <v>2</v>
      </c>
      <c r="J48" s="117">
        <v>2</v>
      </c>
      <c r="K48" s="117"/>
      <c r="L48" s="117"/>
      <c r="M48" s="117">
        <v>2</v>
      </c>
      <c r="N48" s="117">
        <v>2</v>
      </c>
      <c r="O48" s="117">
        <v>2</v>
      </c>
      <c r="P48" s="117">
        <v>2</v>
      </c>
      <c r="Q48" s="117">
        <v>2</v>
      </c>
      <c r="R48" s="117">
        <v>2</v>
      </c>
      <c r="S48" s="117">
        <v>2</v>
      </c>
    </row>
    <row r="49" spans="9:19" ht="18" customHeight="1">
      <c r="I49" s="117">
        <v>3</v>
      </c>
      <c r="J49" s="117">
        <v>3</v>
      </c>
      <c r="K49" s="117"/>
      <c r="L49" s="117"/>
      <c r="M49" s="117"/>
      <c r="N49" s="117">
        <v>3</v>
      </c>
      <c r="O49" s="117">
        <v>3</v>
      </c>
      <c r="P49" s="117">
        <v>3</v>
      </c>
      <c r="Q49" s="117"/>
      <c r="R49" s="117">
        <v>3</v>
      </c>
      <c r="S49" s="117">
        <v>3</v>
      </c>
    </row>
    <row r="50" spans="9:19" ht="18" customHeight="1">
      <c r="I50" s="117">
        <v>9</v>
      </c>
      <c r="J50" s="117">
        <v>4</v>
      </c>
      <c r="K50" s="117"/>
      <c r="L50" s="117"/>
      <c r="M50" s="117"/>
      <c r="N50" s="117"/>
      <c r="O50" s="117">
        <v>4</v>
      </c>
      <c r="P50" s="117">
        <v>4</v>
      </c>
      <c r="Q50" s="117"/>
      <c r="R50" s="117">
        <v>4</v>
      </c>
      <c r="S50" s="117">
        <v>4</v>
      </c>
    </row>
    <row r="51" spans="9:19" ht="18" customHeight="1">
      <c r="I51" s="117"/>
      <c r="J51" s="117">
        <v>9</v>
      </c>
      <c r="K51" s="117"/>
      <c r="L51" s="117"/>
      <c r="M51" s="117"/>
      <c r="N51" s="117"/>
      <c r="O51" s="117">
        <v>5</v>
      </c>
      <c r="P51" s="117">
        <v>9</v>
      </c>
      <c r="Q51" s="117"/>
      <c r="R51" s="117">
        <v>9</v>
      </c>
      <c r="S51" s="117">
        <v>5</v>
      </c>
    </row>
    <row r="52" spans="9:19" ht="18" customHeight="1">
      <c r="I52" s="117"/>
      <c r="J52" s="117">
        <v>0</v>
      </c>
      <c r="K52" s="117"/>
      <c r="L52" s="117"/>
      <c r="M52" s="117"/>
      <c r="N52" s="117"/>
      <c r="O52" s="117">
        <v>9</v>
      </c>
      <c r="P52" s="117">
        <v>0</v>
      </c>
      <c r="Q52" s="117"/>
      <c r="R52" s="117"/>
      <c r="S52" s="117">
        <v>6</v>
      </c>
    </row>
    <row r="53" spans="9:19" ht="18" customHeight="1">
      <c r="I53" s="117"/>
      <c r="J53" s="117"/>
      <c r="K53" s="117"/>
      <c r="L53" s="117"/>
      <c r="M53" s="117"/>
      <c r="N53" s="117"/>
      <c r="O53" s="117">
        <v>0</v>
      </c>
      <c r="P53" s="117"/>
      <c r="Q53" s="117"/>
      <c r="R53" s="117"/>
      <c r="S53" s="117">
        <v>9</v>
      </c>
    </row>
  </sheetData>
  <sheetProtection/>
  <mergeCells count="18">
    <mergeCell ref="U9:U10"/>
    <mergeCell ref="R22:R26"/>
    <mergeCell ref="O23:O26"/>
    <mergeCell ref="R27:R32"/>
    <mergeCell ref="A9:A10"/>
    <mergeCell ref="I9:I10"/>
    <mergeCell ref="M9:M10"/>
    <mergeCell ref="N9:N10"/>
    <mergeCell ref="Q34:Q45"/>
    <mergeCell ref="R34:R40"/>
    <mergeCell ref="R41:R45"/>
    <mergeCell ref="T9:T10"/>
    <mergeCell ref="O15:O17"/>
    <mergeCell ref="Q15:Q33"/>
    <mergeCell ref="R15:R19"/>
    <mergeCell ref="O18:O19"/>
    <mergeCell ref="O20:O22"/>
    <mergeCell ref="R20:R21"/>
  </mergeCells>
  <printOptions/>
  <pageMargins left="0.7" right="0.7" top="0.75" bottom="0.75" header="0.3" footer="0.3"/>
  <pageSetup fitToHeight="0" fitToWidth="1" horizontalDpi="600" verticalDpi="600" orientation="landscape" paperSize="9" scale="4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57"/>
  <sheetViews>
    <sheetView showGridLines="0" zoomScale="70" zoomScaleNormal="70" zoomScaleSheetLayoutView="70" zoomScalePageLayoutView="0" workbookViewId="0" topLeftCell="A1">
      <selection activeCell="A1" sqref="A1"/>
    </sheetView>
  </sheetViews>
  <sheetFormatPr defaultColWidth="9.140625" defaultRowHeight="15"/>
  <cols>
    <col min="1" max="1" width="3.421875" style="57" customWidth="1"/>
    <col min="2" max="2" width="3.421875" style="58" customWidth="1"/>
    <col min="3" max="3" width="5.421875" style="58" customWidth="1"/>
    <col min="4" max="4" width="26.421875" style="58" customWidth="1"/>
    <col min="5" max="7" width="7.421875" style="57" customWidth="1"/>
    <col min="8" max="10" width="6.7109375" style="57" customWidth="1"/>
    <col min="11" max="14" width="7.421875" style="57" customWidth="1"/>
    <col min="15" max="15" width="6.7109375" style="57" customWidth="1"/>
    <col min="16" max="17" width="7.421875" style="57" customWidth="1"/>
    <col min="18" max="19" width="6.7109375" style="57" customWidth="1"/>
    <col min="20" max="20" width="8.140625" style="57" customWidth="1"/>
    <col min="21" max="21" width="8.421875" style="57" customWidth="1"/>
    <col min="22" max="16384" width="9.00390625" style="57" customWidth="1"/>
  </cols>
  <sheetData>
    <row r="2" spans="1:21" s="59" customFormat="1" ht="19.5" customHeight="1">
      <c r="A2" s="140" t="s">
        <v>220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</row>
    <row r="3" spans="1:21" ht="14.25">
      <c r="A3" s="60" t="str">
        <f>'別紙2-1出動実績報告表'!F3</f>
        <v>●●レッカー株式会社</v>
      </c>
      <c r="B3" s="61"/>
      <c r="C3" s="61"/>
      <c r="D3" s="61"/>
      <c r="P3" s="62"/>
      <c r="Q3" s="62"/>
      <c r="R3" s="62"/>
      <c r="S3" s="62"/>
      <c r="T3" s="62"/>
      <c r="U3" s="62"/>
    </row>
    <row r="4" spans="1:21" ht="14.25">
      <c r="A4" s="62"/>
      <c r="B4" s="63"/>
      <c r="C4" s="63"/>
      <c r="D4" s="63"/>
      <c r="P4" s="62"/>
      <c r="Q4" s="62"/>
      <c r="R4" s="62"/>
      <c r="S4" s="62"/>
      <c r="T4" s="62"/>
      <c r="U4" s="62"/>
    </row>
    <row r="5" spans="1:21" ht="14.25">
      <c r="A5" s="60" t="str">
        <f>'別紙2-1出動実績報告表'!F5</f>
        <v>▲▲保全・サービスセンター</v>
      </c>
      <c r="B5" s="61"/>
      <c r="C5" s="61"/>
      <c r="D5" s="61"/>
      <c r="F5" s="60" t="str">
        <f>'別紙2-1出動実績報告表'!F7</f>
        <v>■■自動車道</v>
      </c>
      <c r="G5" s="60"/>
      <c r="H5" s="60"/>
      <c r="I5" s="60"/>
      <c r="J5" s="60"/>
      <c r="K5" s="62"/>
      <c r="L5" s="60" t="s">
        <v>110</v>
      </c>
      <c r="M5" s="60"/>
      <c r="N5" s="60"/>
      <c r="O5" s="60"/>
      <c r="P5" s="60"/>
      <c r="Q5" s="60"/>
      <c r="R5" s="60"/>
      <c r="S5" s="60"/>
      <c r="T5" s="60"/>
      <c r="U5" s="62"/>
    </row>
    <row r="6" spans="2:21" ht="15" thickBot="1">
      <c r="B6" s="62"/>
      <c r="C6" s="63"/>
      <c r="D6" s="63"/>
      <c r="F6" s="62"/>
      <c r="G6" s="62"/>
      <c r="H6" s="62"/>
      <c r="I6" s="62"/>
      <c r="J6" s="62"/>
      <c r="K6" s="62"/>
      <c r="L6" s="62"/>
      <c r="P6" s="62"/>
      <c r="Q6" s="62"/>
      <c r="R6" s="62"/>
      <c r="S6" s="62"/>
      <c r="T6" s="62"/>
      <c r="U6" s="62"/>
    </row>
    <row r="7" spans="1:21" s="58" customFormat="1" ht="15" thickTop="1">
      <c r="A7" s="64"/>
      <c r="B7" s="65"/>
      <c r="C7" s="65"/>
      <c r="D7" s="66" t="s">
        <v>111</v>
      </c>
      <c r="E7" s="67" t="s">
        <v>112</v>
      </c>
      <c r="F7" s="67"/>
      <c r="G7" s="68"/>
      <c r="H7" s="69" t="s">
        <v>113</v>
      </c>
      <c r="I7" s="68"/>
      <c r="J7" s="69" t="s">
        <v>114</v>
      </c>
      <c r="K7" s="67"/>
      <c r="L7" s="68"/>
      <c r="M7" s="69" t="s">
        <v>115</v>
      </c>
      <c r="N7" s="67"/>
      <c r="O7" s="67"/>
      <c r="P7" s="68"/>
      <c r="Q7" s="70" t="s">
        <v>116</v>
      </c>
      <c r="R7" s="71"/>
      <c r="S7" s="71"/>
      <c r="T7" s="72"/>
      <c r="U7" s="73"/>
    </row>
    <row r="8" spans="1:21" s="82" customFormat="1" ht="14.25">
      <c r="A8" s="74"/>
      <c r="B8" s="75"/>
      <c r="C8" s="75"/>
      <c r="D8" s="76"/>
      <c r="E8" s="77" t="s">
        <v>117</v>
      </c>
      <c r="F8" s="78" t="s">
        <v>118</v>
      </c>
      <c r="G8" s="78" t="s">
        <v>119</v>
      </c>
      <c r="H8" s="78" t="s">
        <v>120</v>
      </c>
      <c r="I8" s="78" t="s">
        <v>121</v>
      </c>
      <c r="J8" s="78" t="s">
        <v>121</v>
      </c>
      <c r="K8" s="78" t="s">
        <v>122</v>
      </c>
      <c r="L8" s="78" t="s">
        <v>123</v>
      </c>
      <c r="M8" s="78" t="s">
        <v>124</v>
      </c>
      <c r="N8" s="78" t="s">
        <v>125</v>
      </c>
      <c r="O8" s="78" t="s">
        <v>126</v>
      </c>
      <c r="P8" s="78" t="s">
        <v>127</v>
      </c>
      <c r="Q8" s="78" t="s">
        <v>128</v>
      </c>
      <c r="R8" s="79" t="s">
        <v>129</v>
      </c>
      <c r="S8" s="79" t="s">
        <v>130</v>
      </c>
      <c r="T8" s="80" t="s">
        <v>131</v>
      </c>
      <c r="U8" s="81"/>
    </row>
    <row r="9" spans="1:21" s="82" customFormat="1" ht="14.25">
      <c r="A9" s="74"/>
      <c r="B9" s="75"/>
      <c r="C9" s="75"/>
      <c r="D9" s="83"/>
      <c r="E9" s="76" t="s">
        <v>132</v>
      </c>
      <c r="F9" s="79"/>
      <c r="G9" s="84" t="s">
        <v>218</v>
      </c>
      <c r="H9" s="79"/>
      <c r="I9" s="79" t="s">
        <v>120</v>
      </c>
      <c r="J9" s="79" t="s">
        <v>133</v>
      </c>
      <c r="K9" s="79"/>
      <c r="L9" s="79"/>
      <c r="M9" s="79"/>
      <c r="N9" s="79"/>
      <c r="O9" s="79" t="s">
        <v>134</v>
      </c>
      <c r="P9" s="79"/>
      <c r="Q9" s="79"/>
      <c r="R9" s="79" t="s">
        <v>135</v>
      </c>
      <c r="S9" s="79"/>
      <c r="T9" s="78" t="s">
        <v>136</v>
      </c>
      <c r="U9" s="85" t="s">
        <v>137</v>
      </c>
    </row>
    <row r="10" spans="1:21" s="82" customFormat="1" ht="14.25">
      <c r="A10" s="86" t="s">
        <v>138</v>
      </c>
      <c r="B10" s="87"/>
      <c r="C10" s="88"/>
      <c r="D10" s="89"/>
      <c r="E10" s="89" t="s">
        <v>139</v>
      </c>
      <c r="F10" s="90" t="s">
        <v>140</v>
      </c>
      <c r="G10" s="90" t="s">
        <v>141</v>
      </c>
      <c r="H10" s="90" t="s">
        <v>142</v>
      </c>
      <c r="I10" s="90" t="s">
        <v>142</v>
      </c>
      <c r="J10" s="90" t="s">
        <v>143</v>
      </c>
      <c r="K10" s="90" t="s">
        <v>144</v>
      </c>
      <c r="L10" s="90" t="s">
        <v>145</v>
      </c>
      <c r="M10" s="90" t="s">
        <v>146</v>
      </c>
      <c r="N10" s="90" t="s">
        <v>144</v>
      </c>
      <c r="O10" s="90" t="s">
        <v>147</v>
      </c>
      <c r="P10" s="90" t="s">
        <v>148</v>
      </c>
      <c r="Q10" s="90" t="s">
        <v>149</v>
      </c>
      <c r="R10" s="90" t="s">
        <v>150</v>
      </c>
      <c r="S10" s="90" t="s">
        <v>151</v>
      </c>
      <c r="T10" s="90"/>
      <c r="U10" s="91" t="s">
        <v>152</v>
      </c>
    </row>
    <row r="11" spans="1:21" ht="15" customHeight="1">
      <c r="A11" s="92"/>
      <c r="B11" s="79"/>
      <c r="C11" s="93" t="s">
        <v>153</v>
      </c>
      <c r="D11" s="94" t="s">
        <v>154</v>
      </c>
      <c r="E11" s="95">
        <f>_xlfn.COUNTIFS('別紙2-1出動実績報告表'!$O:$O,1,'別紙2-1出動実績報告表'!$P:$P,1,'別紙2-1出動実績報告表'!$Q:$Q,1,'別紙2-1出動実績報告表'!$R:$R,1,'別紙2-1出動実績報告表'!$S:$S,1)</f>
        <v>0</v>
      </c>
      <c r="F11" s="95">
        <f>_xlfn.COUNTIFS('別紙2-1出動実績報告表'!$O:$O,1,'別紙2-1出動実績報告表'!$P:$P,2,'別紙2-1出動実績報告表'!$Q:$Q,1,'別紙2-1出動実績報告表'!$R:$R,1,'別紙2-1出動実績報告表'!$S:$S,1)</f>
        <v>0</v>
      </c>
      <c r="G11" s="95">
        <f>_xlfn.COUNTIFS('別紙2-1出動実績報告表'!$O:$O,1,'別紙2-1出動実績報告表'!$P:$P,3,'別紙2-1出動実績報告表'!$Q:$Q,1,'別紙2-1出動実績報告表'!$R:$R,1,'別紙2-1出動実績報告表'!$S:$S,1)</f>
        <v>0</v>
      </c>
      <c r="H11" s="95">
        <f>_xlfn.COUNTIFS('別紙2-1出動実績報告表'!$O:$O,2,'別紙2-1出動実績報告表'!$P:$P,1,'別紙2-1出動実績報告表'!$Q:$Q,1,'別紙2-1出動実績報告表'!$R:$R,1,'別紙2-1出動実績報告表'!$S:$S,1)</f>
        <v>0</v>
      </c>
      <c r="I11" s="95">
        <f>_xlfn.COUNTIFS('別紙2-1出動実績報告表'!$O:$O,2,'別紙2-1出動実績報告表'!$P:$P,2,'別紙2-1出動実績報告表'!$Q:$Q,1,'別紙2-1出動実績報告表'!$R:$R,1,'別紙2-1出動実績報告表'!$S:$S,1)</f>
        <v>0</v>
      </c>
      <c r="J11" s="95">
        <f>_xlfn.COUNTIFS('別紙2-1出動実績報告表'!$O:$O,3,'別紙2-1出動実績報告表'!$P:$P,1,'別紙2-1出動実績報告表'!$Q:$Q,1,'別紙2-1出動実績報告表'!$R:$R,1,'別紙2-1出動実績報告表'!$S:$S,1)</f>
        <v>0</v>
      </c>
      <c r="K11" s="95">
        <f>_xlfn.COUNTIFS('別紙2-1出動実績報告表'!$O:$O,3,'別紙2-1出動実績報告表'!$P:$P,2,'別紙2-1出動実績報告表'!$Q:$Q,1,'別紙2-1出動実績報告表'!$R:$R,1,'別紙2-1出動実績報告表'!$S:$S,1)</f>
        <v>0</v>
      </c>
      <c r="L11" s="95">
        <f>_xlfn.COUNTIFS('別紙2-1出動実績報告表'!$O:$O,3,'別紙2-1出動実績報告表'!$P:$P,3,'別紙2-1出動実績報告表'!$Q:$Q,1,'別紙2-1出動実績報告表'!$R:$R,1,'別紙2-1出動実績報告表'!$S:$S,1)</f>
        <v>0</v>
      </c>
      <c r="M11" s="95">
        <f>_xlfn.COUNTIFS('別紙2-1出動実績報告表'!$O:$O,4,'別紙2-1出動実績報告表'!$P:$P,1,'別紙2-1出動実績報告表'!$Q:$Q,1,'別紙2-1出動実績報告表'!$R:$R,1,'別紙2-1出動実績報告表'!$S:$S,1)</f>
        <v>0</v>
      </c>
      <c r="N11" s="95">
        <f>_xlfn.COUNTIFS('別紙2-1出動実績報告表'!$O:$O,4,'別紙2-1出動実績報告表'!$P:$P,2,'別紙2-1出動実績報告表'!$Q:$Q,1,'別紙2-1出動実績報告表'!$R:$R,1,'別紙2-1出動実績報告表'!$S:$S,1)</f>
        <v>0</v>
      </c>
      <c r="O11" s="95">
        <f>_xlfn.COUNTIFS('別紙2-1出動実績報告表'!$O:$O,4,'別紙2-1出動実績報告表'!$P:$P,3,'別紙2-1出動実績報告表'!$Q:$Q,1,'別紙2-1出動実績報告表'!$R:$R,1,'別紙2-1出動実績報告表'!$S:$S,1)</f>
        <v>0</v>
      </c>
      <c r="P11" s="95">
        <f>_xlfn.COUNTIFS('別紙2-1出動実績報告表'!$O:$O,4,'別紙2-1出動実績報告表'!$P:$P,4,'別紙2-1出動実績報告表'!$Q:$Q,1,'別紙2-1出動実績報告表'!$R:$R,1,'別紙2-1出動実績報告表'!$S:$S,1)</f>
        <v>0</v>
      </c>
      <c r="Q11" s="95">
        <f>_xlfn.COUNTIFS('別紙2-1出動実績報告表'!$O:$O,5,'別紙2-1出動実績報告表'!$P:$P,1,'別紙2-1出動実績報告表'!$Q:$Q,1,'別紙2-1出動実績報告表'!$R:$R,1,'別紙2-1出動実績報告表'!$S:$S,1)</f>
        <v>0</v>
      </c>
      <c r="R11" s="95">
        <f>_xlfn.COUNTIFS('別紙2-1出動実績報告表'!$O:$O,9,'別紙2-1出動実績報告表'!$P:$P,9,'別紙2-1出動実績報告表'!$Q:$Q,1,'別紙2-1出動実績報告表'!$R:$R,1,'別紙2-1出動実績報告表'!$S:$S,1)</f>
        <v>0</v>
      </c>
      <c r="S11" s="95">
        <f>_xlfn.COUNTIFS('別紙2-1出動実績報告表'!$O:$O,0,'別紙2-1出動実績報告表'!$P:$P,0,'別紙2-1出動実績報告表'!$Q:$Q,1,'別紙2-1出動実績報告表'!$R:$R,1,'別紙2-1出動実績報告表'!$S:$S,1)</f>
        <v>0</v>
      </c>
      <c r="T11" s="95">
        <f>SUM(E11:S11)</f>
        <v>0</v>
      </c>
      <c r="U11" s="96"/>
    </row>
    <row r="12" spans="1:21" ht="15" customHeight="1">
      <c r="A12" s="97"/>
      <c r="B12" s="79"/>
      <c r="C12" s="93" t="s">
        <v>155</v>
      </c>
      <c r="D12" s="98" t="s">
        <v>156</v>
      </c>
      <c r="E12" s="95">
        <f>_xlfn.COUNTIFS('別紙2-1出動実績報告表'!$O:$O,1,'別紙2-1出動実績報告表'!$P:$P,1,'別紙2-1出動実績報告表'!$Q:$Q,1,'別紙2-1出動実績報告表'!$R:$R,1,'別紙2-1出動実績報告表'!$S:$S,2)</f>
        <v>0</v>
      </c>
      <c r="F12" s="95">
        <f>_xlfn.COUNTIFS('別紙2-1出動実績報告表'!$O:$O,1,'別紙2-1出動実績報告表'!$P:$P,2,'別紙2-1出動実績報告表'!$Q:$Q,1,'別紙2-1出動実績報告表'!$R:$R,1,'別紙2-1出動実績報告表'!$S:$S,2)</f>
        <v>0</v>
      </c>
      <c r="G12" s="95">
        <f>_xlfn.COUNTIFS('別紙2-1出動実績報告表'!$O:$O,1,'別紙2-1出動実績報告表'!$P:$P,3,'別紙2-1出動実績報告表'!$Q:$Q,1,'別紙2-1出動実績報告表'!$R:$R,1,'別紙2-1出動実績報告表'!$S:$S,2)</f>
        <v>0</v>
      </c>
      <c r="H12" s="95">
        <f>_xlfn.COUNTIFS('別紙2-1出動実績報告表'!$O:$O,2,'別紙2-1出動実績報告表'!$P:$P,1,'別紙2-1出動実績報告表'!$Q:$Q,1,'別紙2-1出動実績報告表'!$R:$R,1,'別紙2-1出動実績報告表'!$S:$S,2)</f>
        <v>0</v>
      </c>
      <c r="I12" s="95">
        <f>_xlfn.COUNTIFS('別紙2-1出動実績報告表'!$O:$O,2,'別紙2-1出動実績報告表'!$P:$P,2,'別紙2-1出動実績報告表'!$Q:$Q,1,'別紙2-1出動実績報告表'!$R:$R,1,'別紙2-1出動実績報告表'!$S:$S,2)</f>
        <v>0</v>
      </c>
      <c r="J12" s="95">
        <f>_xlfn.COUNTIFS('別紙2-1出動実績報告表'!$O:$O,3,'別紙2-1出動実績報告表'!$P:$P,1,'別紙2-1出動実績報告表'!$Q:$Q,1,'別紙2-1出動実績報告表'!$R:$R,1,'別紙2-1出動実績報告表'!$S:$S,2)</f>
        <v>0</v>
      </c>
      <c r="K12" s="95">
        <f>_xlfn.COUNTIFS('別紙2-1出動実績報告表'!$O:$O,3,'別紙2-1出動実績報告表'!$P:$P,2,'別紙2-1出動実績報告表'!$Q:$Q,1,'別紙2-1出動実績報告表'!$R:$R,1,'別紙2-1出動実績報告表'!$S:$S,2)</f>
        <v>0</v>
      </c>
      <c r="L12" s="95">
        <f>_xlfn.COUNTIFS('別紙2-1出動実績報告表'!$O:$O,3,'別紙2-1出動実績報告表'!$P:$P,3,'別紙2-1出動実績報告表'!$Q:$Q,1,'別紙2-1出動実績報告表'!$R:$R,1,'別紙2-1出動実績報告表'!$S:$S,2)</f>
        <v>0</v>
      </c>
      <c r="M12" s="95">
        <f>_xlfn.COUNTIFS('別紙2-1出動実績報告表'!$O:$O,4,'別紙2-1出動実績報告表'!$P:$P,1,'別紙2-1出動実績報告表'!$Q:$Q,1,'別紙2-1出動実績報告表'!$R:$R,1,'別紙2-1出動実績報告表'!$S:$S,2)</f>
        <v>0</v>
      </c>
      <c r="N12" s="95">
        <f>_xlfn.COUNTIFS('別紙2-1出動実績報告表'!$O:$O,4,'別紙2-1出動実績報告表'!$P:$P,2,'別紙2-1出動実績報告表'!$Q:$Q,1,'別紙2-1出動実績報告表'!$R:$R,1,'別紙2-1出動実績報告表'!$S:$S,2)</f>
        <v>0</v>
      </c>
      <c r="O12" s="95">
        <f>_xlfn.COUNTIFS('別紙2-1出動実績報告表'!$O:$O,4,'別紙2-1出動実績報告表'!$P:$P,3,'別紙2-1出動実績報告表'!$Q:$Q,1,'別紙2-1出動実績報告表'!$R:$R,1,'別紙2-1出動実績報告表'!$S:$S,2)</f>
        <v>0</v>
      </c>
      <c r="P12" s="95">
        <f>_xlfn.COUNTIFS('別紙2-1出動実績報告表'!$O:$O,4,'別紙2-1出動実績報告表'!$P:$P,4,'別紙2-1出動実績報告表'!$Q:$Q,1,'別紙2-1出動実績報告表'!$R:$R,1,'別紙2-1出動実績報告表'!$S:$S,2)</f>
        <v>0</v>
      </c>
      <c r="Q12" s="95">
        <f>_xlfn.COUNTIFS('別紙2-1出動実績報告表'!$O:$O,5,'別紙2-1出動実績報告表'!$P:$P,1,'別紙2-1出動実績報告表'!$Q:$Q,1,'別紙2-1出動実績報告表'!$R:$R,1,'別紙2-1出動実績報告表'!$S:$S,2)</f>
        <v>0</v>
      </c>
      <c r="R12" s="95">
        <f>_xlfn.COUNTIFS('別紙2-1出動実績報告表'!$O:$O,9,'別紙2-1出動実績報告表'!$P:$P,9,'別紙2-1出動実績報告表'!$Q:$Q,1,'別紙2-1出動実績報告表'!$R:$R,1,'別紙2-1出動実績報告表'!$S:$S,2)</f>
        <v>0</v>
      </c>
      <c r="S12" s="95">
        <f>_xlfn.COUNTIFS('別紙2-1出動実績報告表'!$O:$O,0,'別紙2-1出動実績報告表'!$P:$P,0,'別紙2-1出動実績報告表'!$Q:$Q,1,'別紙2-1出動実績報告表'!$R:$R,1,'別紙2-1出動実績報告表'!$S:$S,2)</f>
        <v>0</v>
      </c>
      <c r="T12" s="95">
        <f aca="true" t="shared" si="0" ref="T12:T41">SUM(E12:S12)</f>
        <v>0</v>
      </c>
      <c r="U12" s="96"/>
    </row>
    <row r="13" spans="1:21" ht="15" customHeight="1">
      <c r="A13" s="97"/>
      <c r="B13" s="79"/>
      <c r="C13" s="93" t="s">
        <v>157</v>
      </c>
      <c r="D13" s="98" t="s">
        <v>158</v>
      </c>
      <c r="E13" s="95">
        <f>_xlfn.COUNTIFS('別紙2-1出動実績報告表'!$O:$O,1,'別紙2-1出動実績報告表'!$P:$P,1,'別紙2-1出動実績報告表'!$Q:$Q,1,'別紙2-1出動実績報告表'!$R:$R,1,'別紙2-1出動実績報告表'!$S:$S,3)</f>
        <v>0</v>
      </c>
      <c r="F13" s="95">
        <f>_xlfn.COUNTIFS('別紙2-1出動実績報告表'!$O:$O,1,'別紙2-1出動実績報告表'!$P:$P,2,'別紙2-1出動実績報告表'!$Q:$Q,1,'別紙2-1出動実績報告表'!$R:$R,1,'別紙2-1出動実績報告表'!$S:$S,3)</f>
        <v>0</v>
      </c>
      <c r="G13" s="95">
        <f>_xlfn.COUNTIFS('別紙2-1出動実績報告表'!$O:$O,1,'別紙2-1出動実績報告表'!$P:$P,3,'別紙2-1出動実績報告表'!$Q:$Q,1,'別紙2-1出動実績報告表'!$R:$R,1,'別紙2-1出動実績報告表'!$S:$S,3)</f>
        <v>0</v>
      </c>
      <c r="H13" s="95">
        <f>_xlfn.COUNTIFS('別紙2-1出動実績報告表'!$O:$O,2,'別紙2-1出動実績報告表'!$P:$P,1,'別紙2-1出動実績報告表'!$Q:$Q,1,'別紙2-1出動実績報告表'!$R:$R,1,'別紙2-1出動実績報告表'!$S:$S,3)</f>
        <v>0</v>
      </c>
      <c r="I13" s="95">
        <f>_xlfn.COUNTIFS('別紙2-1出動実績報告表'!$O:$O,2,'別紙2-1出動実績報告表'!$P:$P,2,'別紙2-1出動実績報告表'!$Q:$Q,1,'別紙2-1出動実績報告表'!$R:$R,1,'別紙2-1出動実績報告表'!$S:$S,3)</f>
        <v>0</v>
      </c>
      <c r="J13" s="95">
        <f>_xlfn.COUNTIFS('別紙2-1出動実績報告表'!$O:$O,3,'別紙2-1出動実績報告表'!$P:$P,1,'別紙2-1出動実績報告表'!$Q:$Q,1,'別紙2-1出動実績報告表'!$R:$R,1,'別紙2-1出動実績報告表'!$S:$S,3)</f>
        <v>0</v>
      </c>
      <c r="K13" s="95">
        <f>_xlfn.COUNTIFS('別紙2-1出動実績報告表'!$O:$O,3,'別紙2-1出動実績報告表'!$P:$P,2,'別紙2-1出動実績報告表'!$Q:$Q,1,'別紙2-1出動実績報告表'!$R:$R,1,'別紙2-1出動実績報告表'!$S:$S,3)</f>
        <v>0</v>
      </c>
      <c r="L13" s="95">
        <f>_xlfn.COUNTIFS('別紙2-1出動実績報告表'!$O:$O,3,'別紙2-1出動実績報告表'!$P:$P,3,'別紙2-1出動実績報告表'!$Q:$Q,1,'別紙2-1出動実績報告表'!$R:$R,1,'別紙2-1出動実績報告表'!$S:$S,3)</f>
        <v>0</v>
      </c>
      <c r="M13" s="95">
        <f>_xlfn.COUNTIFS('別紙2-1出動実績報告表'!$O:$O,4,'別紙2-1出動実績報告表'!$P:$P,1,'別紙2-1出動実績報告表'!$Q:$Q,1,'別紙2-1出動実績報告表'!$R:$R,1,'別紙2-1出動実績報告表'!$S:$S,3)</f>
        <v>0</v>
      </c>
      <c r="N13" s="95">
        <f>_xlfn.COUNTIFS('別紙2-1出動実績報告表'!$O:$O,4,'別紙2-1出動実績報告表'!$P:$P,2,'別紙2-1出動実績報告表'!$Q:$Q,1,'別紙2-1出動実績報告表'!$R:$R,1,'別紙2-1出動実績報告表'!$S:$S,3)</f>
        <v>0</v>
      </c>
      <c r="O13" s="95">
        <f>_xlfn.COUNTIFS('別紙2-1出動実績報告表'!$O:$O,4,'別紙2-1出動実績報告表'!$P:$P,3,'別紙2-1出動実績報告表'!$Q:$Q,1,'別紙2-1出動実績報告表'!$R:$R,1,'別紙2-1出動実績報告表'!$S:$S,3)</f>
        <v>0</v>
      </c>
      <c r="P13" s="95">
        <f>_xlfn.COUNTIFS('別紙2-1出動実績報告表'!$O:$O,4,'別紙2-1出動実績報告表'!$P:$P,4,'別紙2-1出動実績報告表'!$Q:$Q,1,'別紙2-1出動実績報告表'!$R:$R,1,'別紙2-1出動実績報告表'!$S:$S,3)</f>
        <v>0</v>
      </c>
      <c r="Q13" s="95">
        <f>_xlfn.COUNTIFS('別紙2-1出動実績報告表'!$O:$O,5,'別紙2-1出動実績報告表'!$P:$P,1,'別紙2-1出動実績報告表'!$Q:$Q,1,'別紙2-1出動実績報告表'!$R:$R,1,'別紙2-1出動実績報告表'!$S:$S,3)</f>
        <v>0</v>
      </c>
      <c r="R13" s="95">
        <f>_xlfn.COUNTIFS('別紙2-1出動実績報告表'!$O:$O,9,'別紙2-1出動実績報告表'!$P:$P,9,'別紙2-1出動実績報告表'!$Q:$Q,1,'別紙2-1出動実績報告表'!$R:$R,1,'別紙2-1出動実績報告表'!$S:$S,3)</f>
        <v>0</v>
      </c>
      <c r="S13" s="95">
        <f>_xlfn.COUNTIFS('別紙2-1出動実績報告表'!$O:$O,0,'別紙2-1出動実績報告表'!$P:$P,0,'別紙2-1出動実績報告表'!$Q:$Q,1,'別紙2-1出動実績報告表'!$R:$R,1,'別紙2-1出動実績報告表'!$S:$S,3)</f>
        <v>0</v>
      </c>
      <c r="T13" s="95">
        <f t="shared" si="0"/>
        <v>0</v>
      </c>
      <c r="U13" s="96"/>
    </row>
    <row r="14" spans="1:21" ht="15" customHeight="1">
      <c r="A14" s="97"/>
      <c r="B14" s="79" t="s">
        <v>159</v>
      </c>
      <c r="C14" s="93" t="s">
        <v>160</v>
      </c>
      <c r="D14" s="98" t="s">
        <v>161</v>
      </c>
      <c r="E14" s="95">
        <f>_xlfn.COUNTIFS('別紙2-1出動実績報告表'!$O:$O,1,'別紙2-1出動実績報告表'!$P:$P,1,'別紙2-1出動実績報告表'!$Q:$Q,1,'別紙2-1出動実績報告表'!$R:$R,1,'別紙2-1出動実績報告表'!$S:$S,4)</f>
        <v>0</v>
      </c>
      <c r="F14" s="95">
        <f>_xlfn.COUNTIFS('別紙2-1出動実績報告表'!$O:$O,1,'別紙2-1出動実績報告表'!$P:$P,2,'別紙2-1出動実績報告表'!$Q:$Q,1,'別紙2-1出動実績報告表'!$R:$R,1,'別紙2-1出動実績報告表'!$S:$S,4)</f>
        <v>0</v>
      </c>
      <c r="G14" s="95">
        <f>_xlfn.COUNTIFS('別紙2-1出動実績報告表'!$O:$O,1,'別紙2-1出動実績報告表'!$P:$P,3,'別紙2-1出動実績報告表'!$Q:$Q,1,'別紙2-1出動実績報告表'!$R:$R,1,'別紙2-1出動実績報告表'!$S:$S,4)</f>
        <v>0</v>
      </c>
      <c r="H14" s="95">
        <f>_xlfn.COUNTIFS('別紙2-1出動実績報告表'!$O:$O,2,'別紙2-1出動実績報告表'!$P:$P,1,'別紙2-1出動実績報告表'!$Q:$Q,1,'別紙2-1出動実績報告表'!$R:$R,1,'別紙2-1出動実績報告表'!$S:$S,4)</f>
        <v>0</v>
      </c>
      <c r="I14" s="95">
        <f>_xlfn.COUNTIFS('別紙2-1出動実績報告表'!$O:$O,2,'別紙2-1出動実績報告表'!$P:$P,2,'別紙2-1出動実績報告表'!$Q:$Q,1,'別紙2-1出動実績報告表'!$R:$R,1,'別紙2-1出動実績報告表'!$S:$S,4)</f>
        <v>0</v>
      </c>
      <c r="J14" s="95">
        <f>_xlfn.COUNTIFS('別紙2-1出動実績報告表'!$O:$O,3,'別紙2-1出動実績報告表'!$P:$P,1,'別紙2-1出動実績報告表'!$Q:$Q,1,'別紙2-1出動実績報告表'!$R:$R,1,'別紙2-1出動実績報告表'!$S:$S,4)</f>
        <v>0</v>
      </c>
      <c r="K14" s="95">
        <f>_xlfn.COUNTIFS('別紙2-1出動実績報告表'!$O:$O,3,'別紙2-1出動実績報告表'!$P:$P,2,'別紙2-1出動実績報告表'!$Q:$Q,1,'別紙2-1出動実績報告表'!$R:$R,1,'別紙2-1出動実績報告表'!$S:$S,4)</f>
        <v>0</v>
      </c>
      <c r="L14" s="95">
        <f>_xlfn.COUNTIFS('別紙2-1出動実績報告表'!$O:$O,3,'別紙2-1出動実績報告表'!$P:$P,3,'別紙2-1出動実績報告表'!$Q:$Q,1,'別紙2-1出動実績報告表'!$R:$R,1,'別紙2-1出動実績報告表'!$S:$S,4)</f>
        <v>0</v>
      </c>
      <c r="M14" s="95">
        <f>_xlfn.COUNTIFS('別紙2-1出動実績報告表'!$O:$O,4,'別紙2-1出動実績報告表'!$P:$P,1,'別紙2-1出動実績報告表'!$Q:$Q,1,'別紙2-1出動実績報告表'!$R:$R,1,'別紙2-1出動実績報告表'!$S:$S,4)</f>
        <v>0</v>
      </c>
      <c r="N14" s="95">
        <f>_xlfn.COUNTIFS('別紙2-1出動実績報告表'!$O:$O,4,'別紙2-1出動実績報告表'!$P:$P,2,'別紙2-1出動実績報告表'!$Q:$Q,1,'別紙2-1出動実績報告表'!$R:$R,1,'別紙2-1出動実績報告表'!$S:$S,4)</f>
        <v>0</v>
      </c>
      <c r="O14" s="95">
        <f>_xlfn.COUNTIFS('別紙2-1出動実績報告表'!$O:$O,4,'別紙2-1出動実績報告表'!$P:$P,3,'別紙2-1出動実績報告表'!$Q:$Q,1,'別紙2-1出動実績報告表'!$R:$R,1,'別紙2-1出動実績報告表'!$S:$S,4)</f>
        <v>0</v>
      </c>
      <c r="P14" s="95">
        <f>_xlfn.COUNTIFS('別紙2-1出動実績報告表'!$O:$O,4,'別紙2-1出動実績報告表'!$P:$P,4,'別紙2-1出動実績報告表'!$Q:$Q,1,'別紙2-1出動実績報告表'!$R:$R,1,'別紙2-1出動実績報告表'!$S:$S,4)</f>
        <v>0</v>
      </c>
      <c r="Q14" s="95">
        <f>_xlfn.COUNTIFS('別紙2-1出動実績報告表'!$O:$O,5,'別紙2-1出動実績報告表'!$P:$P,1,'別紙2-1出動実績報告表'!$Q:$Q,1,'別紙2-1出動実績報告表'!$R:$R,1,'別紙2-1出動実績報告表'!$S:$S,4)</f>
        <v>0</v>
      </c>
      <c r="R14" s="95">
        <f>_xlfn.COUNTIFS('別紙2-1出動実績報告表'!$O:$O,9,'別紙2-1出動実績報告表'!$P:$P,9,'別紙2-1出動実績報告表'!$Q:$Q,1,'別紙2-1出動実績報告表'!$R:$R,1,'別紙2-1出動実績報告表'!$S:$S,4)</f>
        <v>0</v>
      </c>
      <c r="S14" s="95">
        <f>_xlfn.COUNTIFS('別紙2-1出動実績報告表'!$O:$O,0,'別紙2-1出動実績報告表'!$P:$P,0,'別紙2-1出動実績報告表'!$Q:$Q,1,'別紙2-1出動実績報告表'!$R:$R,1,'別紙2-1出動実績報告表'!$S:$S,4)</f>
        <v>0</v>
      </c>
      <c r="T14" s="95">
        <f t="shared" si="0"/>
        <v>0</v>
      </c>
      <c r="U14" s="96"/>
    </row>
    <row r="15" spans="1:21" ht="15" customHeight="1">
      <c r="A15" s="97"/>
      <c r="B15" s="79"/>
      <c r="C15" s="94"/>
      <c r="D15" s="98" t="s">
        <v>162</v>
      </c>
      <c r="E15" s="95">
        <f>_xlfn.COUNTIFS('別紙2-1出動実績報告表'!$O:$O,1,'別紙2-1出動実績報告表'!$P:$P,1,'別紙2-1出動実績報告表'!$Q:$Q,1,'別紙2-1出動実績報告表'!$R:$R,1,'別紙2-1出動実績報告表'!$S:$S,9)</f>
        <v>0</v>
      </c>
      <c r="F15" s="95">
        <f>_xlfn.COUNTIFS('別紙2-1出動実績報告表'!$O:$O,1,'別紙2-1出動実績報告表'!$P:$P,2,'別紙2-1出動実績報告表'!$Q:$Q,1,'別紙2-1出動実績報告表'!$R:$R,1,'別紙2-1出動実績報告表'!$S:$S,9)</f>
        <v>0</v>
      </c>
      <c r="G15" s="95">
        <f>_xlfn.COUNTIFS('別紙2-1出動実績報告表'!$O:$O,1,'別紙2-1出動実績報告表'!$P:$P,3,'別紙2-1出動実績報告表'!$Q:$Q,1,'別紙2-1出動実績報告表'!$R:$R,1,'別紙2-1出動実績報告表'!$S:$S,9)</f>
        <v>0</v>
      </c>
      <c r="H15" s="95">
        <f>_xlfn.COUNTIFS('別紙2-1出動実績報告表'!$O:$O,2,'別紙2-1出動実績報告表'!$P:$P,1,'別紙2-1出動実績報告表'!$Q:$Q,1,'別紙2-1出動実績報告表'!$R:$R,1,'別紙2-1出動実績報告表'!$S:$S,9)</f>
        <v>0</v>
      </c>
      <c r="I15" s="95">
        <f>_xlfn.COUNTIFS('別紙2-1出動実績報告表'!$O:$O,2,'別紙2-1出動実績報告表'!$P:$P,2,'別紙2-1出動実績報告表'!$Q:$Q,1,'別紙2-1出動実績報告表'!$R:$R,1,'別紙2-1出動実績報告表'!$S:$S,9)</f>
        <v>0</v>
      </c>
      <c r="J15" s="95">
        <f>_xlfn.COUNTIFS('別紙2-1出動実績報告表'!$O:$O,3,'別紙2-1出動実績報告表'!$P:$P,1,'別紙2-1出動実績報告表'!$Q:$Q,1,'別紙2-1出動実績報告表'!$R:$R,1,'別紙2-1出動実績報告表'!$S:$S,9)</f>
        <v>0</v>
      </c>
      <c r="K15" s="95">
        <f>_xlfn.COUNTIFS('別紙2-1出動実績報告表'!$O:$O,3,'別紙2-1出動実績報告表'!$P:$P,2,'別紙2-1出動実績報告表'!$Q:$Q,1,'別紙2-1出動実績報告表'!$R:$R,1,'別紙2-1出動実績報告表'!$S:$S,9)</f>
        <v>0</v>
      </c>
      <c r="L15" s="95">
        <f>_xlfn.COUNTIFS('別紙2-1出動実績報告表'!$O:$O,3,'別紙2-1出動実績報告表'!$P:$P,3,'別紙2-1出動実績報告表'!$Q:$Q,1,'別紙2-1出動実績報告表'!$R:$R,1,'別紙2-1出動実績報告表'!$S:$S,9)</f>
        <v>0</v>
      </c>
      <c r="M15" s="95">
        <f>_xlfn.COUNTIFS('別紙2-1出動実績報告表'!$O:$O,4,'別紙2-1出動実績報告表'!$P:$P,1,'別紙2-1出動実績報告表'!$Q:$Q,1,'別紙2-1出動実績報告表'!$R:$R,1,'別紙2-1出動実績報告表'!$S:$S,9)</f>
        <v>0</v>
      </c>
      <c r="N15" s="95">
        <f>_xlfn.COUNTIFS('別紙2-1出動実績報告表'!$O:$O,4,'別紙2-1出動実績報告表'!$P:$P,2,'別紙2-1出動実績報告表'!$Q:$Q,1,'別紙2-1出動実績報告表'!$R:$R,1,'別紙2-1出動実績報告表'!$S:$S,9)</f>
        <v>0</v>
      </c>
      <c r="O15" s="95">
        <f>_xlfn.COUNTIFS('別紙2-1出動実績報告表'!$O:$O,4,'別紙2-1出動実績報告表'!$P:$P,3,'別紙2-1出動実績報告表'!$Q:$Q,1,'別紙2-1出動実績報告表'!$R:$R,1,'別紙2-1出動実績報告表'!$S:$S,9)</f>
        <v>0</v>
      </c>
      <c r="P15" s="95">
        <f>_xlfn.COUNTIFS('別紙2-1出動実績報告表'!$O:$O,4,'別紙2-1出動実績報告表'!$P:$P,4,'別紙2-1出動実績報告表'!$Q:$Q,1,'別紙2-1出動実績報告表'!$R:$R,1,'別紙2-1出動実績報告表'!$S:$S,9)</f>
        <v>0</v>
      </c>
      <c r="Q15" s="95">
        <f>_xlfn.COUNTIFS('別紙2-1出動実績報告表'!$O:$O,5,'別紙2-1出動実績報告表'!$P:$P,1,'別紙2-1出動実績報告表'!$Q:$Q,1,'別紙2-1出動実績報告表'!$R:$R,1,'別紙2-1出動実績報告表'!$S:$S,9)</f>
        <v>0</v>
      </c>
      <c r="R15" s="95">
        <f>_xlfn.COUNTIFS('別紙2-1出動実績報告表'!$O:$O,9,'別紙2-1出動実績報告表'!$P:$P,9,'別紙2-1出動実績報告表'!$Q:$Q,1,'別紙2-1出動実績報告表'!$R:$R,1,'別紙2-1出動実績報告表'!$S:$S,9)</f>
        <v>0</v>
      </c>
      <c r="S15" s="95">
        <f>_xlfn.COUNTIFS('別紙2-1出動実績報告表'!$O:$O,0,'別紙2-1出動実績報告表'!$P:$P,0,'別紙2-1出動実績報告表'!$Q:$Q,1,'別紙2-1出動実績報告表'!$R:$R,1,'別紙2-1出動実績報告表'!$S:$S,9)</f>
        <v>0</v>
      </c>
      <c r="T15" s="95">
        <f t="shared" si="0"/>
        <v>0</v>
      </c>
      <c r="U15" s="96"/>
    </row>
    <row r="16" spans="1:21" ht="15" customHeight="1">
      <c r="A16" s="97"/>
      <c r="B16" s="79"/>
      <c r="C16" s="99" t="s">
        <v>163</v>
      </c>
      <c r="D16" s="98" t="s">
        <v>164</v>
      </c>
      <c r="E16" s="95">
        <f>_xlfn.COUNTIFS('別紙2-1出動実績報告表'!$O:$O,1,'別紙2-1出動実績報告表'!$P:$P,1,'別紙2-1出動実績報告表'!$Q:$Q,1,'別紙2-1出動実績報告表'!$R:$R,2,'別紙2-1出動実績報告表'!$S:$S,1)</f>
        <v>0</v>
      </c>
      <c r="F16" s="95">
        <f>_xlfn.COUNTIFS('別紙2-1出動実績報告表'!$O:$O,1,'別紙2-1出動実績報告表'!$P:$P,2,'別紙2-1出動実績報告表'!$Q:$Q,1,'別紙2-1出動実績報告表'!$R:$R,2,'別紙2-1出動実績報告表'!$S:$S,1)</f>
        <v>0</v>
      </c>
      <c r="G16" s="95">
        <f>_xlfn.COUNTIFS('別紙2-1出動実績報告表'!$O:$O,1,'別紙2-1出動実績報告表'!$P:$P,3,'別紙2-1出動実績報告表'!$Q:$Q,1,'別紙2-1出動実績報告表'!$R:$R,2,'別紙2-1出動実績報告表'!$S:$S,1)</f>
        <v>0</v>
      </c>
      <c r="H16" s="95">
        <f>_xlfn.COUNTIFS('別紙2-1出動実績報告表'!$O:$O,2,'別紙2-1出動実績報告表'!$P:$P,1,'別紙2-1出動実績報告表'!$Q:$Q,1,'別紙2-1出動実績報告表'!$R:$R,2,'別紙2-1出動実績報告表'!$S:$S,1)</f>
        <v>0</v>
      </c>
      <c r="I16" s="95">
        <f>_xlfn.COUNTIFS('別紙2-1出動実績報告表'!$O:$O,2,'別紙2-1出動実績報告表'!$P:$P,2,'別紙2-1出動実績報告表'!$Q:$Q,1,'別紙2-1出動実績報告表'!$R:$R,2,'別紙2-1出動実績報告表'!$S:$S,1)</f>
        <v>0</v>
      </c>
      <c r="J16" s="95">
        <f>_xlfn.COUNTIFS('別紙2-1出動実績報告表'!$O:$O,3,'別紙2-1出動実績報告表'!$P:$P,1,'別紙2-1出動実績報告表'!$Q:$Q,1,'別紙2-1出動実績報告表'!$R:$R,2,'別紙2-1出動実績報告表'!$S:$S,1)</f>
        <v>0</v>
      </c>
      <c r="K16" s="95">
        <f>_xlfn.COUNTIFS('別紙2-1出動実績報告表'!$O:$O,3,'別紙2-1出動実績報告表'!$P:$P,2,'別紙2-1出動実績報告表'!$Q:$Q,1,'別紙2-1出動実績報告表'!$R:$R,2,'別紙2-1出動実績報告表'!$S:$S,1)</f>
        <v>0</v>
      </c>
      <c r="L16" s="95">
        <f>_xlfn.COUNTIFS('別紙2-1出動実績報告表'!$O:$O,3,'別紙2-1出動実績報告表'!$P:$P,3,'別紙2-1出動実績報告表'!$Q:$Q,1,'別紙2-1出動実績報告表'!$R:$R,2,'別紙2-1出動実績報告表'!$S:$S,1)</f>
        <v>0</v>
      </c>
      <c r="M16" s="95">
        <f>_xlfn.COUNTIFS('別紙2-1出動実績報告表'!$O:$O,4,'別紙2-1出動実績報告表'!$P:$P,1,'別紙2-1出動実績報告表'!$Q:$Q,1,'別紙2-1出動実績報告表'!$R:$R,2,'別紙2-1出動実績報告表'!$S:$S,1)</f>
        <v>0</v>
      </c>
      <c r="N16" s="95">
        <f>_xlfn.COUNTIFS('別紙2-1出動実績報告表'!$O:$O,4,'別紙2-1出動実績報告表'!$P:$P,2,'別紙2-1出動実績報告表'!$Q:$Q,1,'別紙2-1出動実績報告表'!$R:$R,2,'別紙2-1出動実績報告表'!$S:$S,1)</f>
        <v>0</v>
      </c>
      <c r="O16" s="95">
        <f>_xlfn.COUNTIFS('別紙2-1出動実績報告表'!$O:$O,4,'別紙2-1出動実績報告表'!$P:$P,3,'別紙2-1出動実績報告表'!$Q:$Q,1,'別紙2-1出動実績報告表'!$R:$R,2,'別紙2-1出動実績報告表'!$S:$S,1)</f>
        <v>0</v>
      </c>
      <c r="P16" s="95">
        <f>_xlfn.COUNTIFS('別紙2-1出動実績報告表'!$O:$O,4,'別紙2-1出動実績報告表'!$P:$P,4,'別紙2-1出動実績報告表'!$Q:$Q,1,'別紙2-1出動実績報告表'!$R:$R,2,'別紙2-1出動実績報告表'!$S:$S,1)</f>
        <v>0</v>
      </c>
      <c r="Q16" s="95">
        <f>_xlfn.COUNTIFS('別紙2-1出動実績報告表'!$O:$O,5,'別紙2-1出動実績報告表'!$P:$P,1,'別紙2-1出動実績報告表'!$Q:$Q,1,'別紙2-1出動実績報告表'!$R:$R,2,'別紙2-1出動実績報告表'!$S:$S,1)</f>
        <v>0</v>
      </c>
      <c r="R16" s="95">
        <f>_xlfn.COUNTIFS('別紙2-1出動実績報告表'!$O:$O,9,'別紙2-1出動実績報告表'!$P:$P,9,'別紙2-1出動実績報告表'!$Q:$Q,1,'別紙2-1出動実績報告表'!$R:$R,2,'別紙2-1出動実績報告表'!$S:$S,1)</f>
        <v>0</v>
      </c>
      <c r="S16" s="95">
        <f>_xlfn.COUNTIFS('別紙2-1出動実績報告表'!$O:$O,0,'別紙2-1出動実績報告表'!$P:$P,0,'別紙2-1出動実績報告表'!$Q:$Q,1,'別紙2-1出動実績報告表'!$R:$R,2,'別紙2-1出動実績報告表'!$S:$S,1)</f>
        <v>0</v>
      </c>
      <c r="T16" s="95">
        <f t="shared" si="0"/>
        <v>0</v>
      </c>
      <c r="U16" s="96"/>
    </row>
    <row r="17" spans="1:21" ht="15" customHeight="1">
      <c r="A17" s="97"/>
      <c r="B17" s="79"/>
      <c r="C17" s="94" t="s">
        <v>165</v>
      </c>
      <c r="D17" s="98" t="s">
        <v>162</v>
      </c>
      <c r="E17" s="95">
        <f>_xlfn.COUNTIFS('別紙2-1出動実績報告表'!$O:$O,1,'別紙2-1出動実績報告表'!$P:$P,1,'別紙2-1出動実績報告表'!$Q:$Q,1,'別紙2-1出動実績報告表'!$R:$R,2,'別紙2-1出動実績報告表'!$S:$S,9)</f>
        <v>0</v>
      </c>
      <c r="F17" s="95">
        <f>_xlfn.COUNTIFS('別紙2-1出動実績報告表'!$O:$O,1,'別紙2-1出動実績報告表'!$P:$P,2,'別紙2-1出動実績報告表'!$Q:$Q,1,'別紙2-1出動実績報告表'!$R:$R,2,'別紙2-1出動実績報告表'!$S:$S,9)</f>
        <v>0</v>
      </c>
      <c r="G17" s="95">
        <f>_xlfn.COUNTIFS('別紙2-1出動実績報告表'!$O:$O,1,'別紙2-1出動実績報告表'!$P:$P,3,'別紙2-1出動実績報告表'!$Q:$Q,1,'別紙2-1出動実績報告表'!$R:$R,2,'別紙2-1出動実績報告表'!$S:$S,9)</f>
        <v>0</v>
      </c>
      <c r="H17" s="95">
        <f>_xlfn.COUNTIFS('別紙2-1出動実績報告表'!$O:$O,2,'別紙2-1出動実績報告表'!$P:$P,1,'別紙2-1出動実績報告表'!$Q:$Q,1,'別紙2-1出動実績報告表'!$R:$R,2,'別紙2-1出動実績報告表'!$S:$S,9)</f>
        <v>0</v>
      </c>
      <c r="I17" s="95">
        <f>_xlfn.COUNTIFS('別紙2-1出動実績報告表'!$O:$O,2,'別紙2-1出動実績報告表'!$P:$P,2,'別紙2-1出動実績報告表'!$Q:$Q,1,'別紙2-1出動実績報告表'!$R:$R,2,'別紙2-1出動実績報告表'!$S:$S,9)</f>
        <v>0</v>
      </c>
      <c r="J17" s="95">
        <f>_xlfn.COUNTIFS('別紙2-1出動実績報告表'!$O:$O,3,'別紙2-1出動実績報告表'!$P:$P,1,'別紙2-1出動実績報告表'!$Q:$Q,1,'別紙2-1出動実績報告表'!$R:$R,2,'別紙2-1出動実績報告表'!$S:$S,9)</f>
        <v>0</v>
      </c>
      <c r="K17" s="95">
        <f>_xlfn.COUNTIFS('別紙2-1出動実績報告表'!$O:$O,3,'別紙2-1出動実績報告表'!$P:$P,2,'別紙2-1出動実績報告表'!$Q:$Q,1,'別紙2-1出動実績報告表'!$R:$R,2,'別紙2-1出動実績報告表'!$S:$S,9)</f>
        <v>0</v>
      </c>
      <c r="L17" s="95">
        <f>_xlfn.COUNTIFS('別紙2-1出動実績報告表'!$O:$O,3,'別紙2-1出動実績報告表'!$P:$P,3,'別紙2-1出動実績報告表'!$Q:$Q,1,'別紙2-1出動実績報告表'!$R:$R,2,'別紙2-1出動実績報告表'!$S:$S,9)</f>
        <v>0</v>
      </c>
      <c r="M17" s="95">
        <f>_xlfn.COUNTIFS('別紙2-1出動実績報告表'!$O:$O,4,'別紙2-1出動実績報告表'!$P:$P,1,'別紙2-1出動実績報告表'!$Q:$Q,1,'別紙2-1出動実績報告表'!$R:$R,2,'別紙2-1出動実績報告表'!$S:$S,9)</f>
        <v>0</v>
      </c>
      <c r="N17" s="95">
        <f>_xlfn.COUNTIFS('別紙2-1出動実績報告表'!$O:$O,4,'別紙2-1出動実績報告表'!$P:$P,2,'別紙2-1出動実績報告表'!$Q:$Q,1,'別紙2-1出動実績報告表'!$R:$R,2,'別紙2-1出動実績報告表'!$S:$S,9)</f>
        <v>0</v>
      </c>
      <c r="O17" s="95">
        <f>_xlfn.COUNTIFS('別紙2-1出動実績報告表'!$O:$O,4,'別紙2-1出動実績報告表'!$P:$P,3,'別紙2-1出動実績報告表'!$Q:$Q,1,'別紙2-1出動実績報告表'!$R:$R,2,'別紙2-1出動実績報告表'!$S:$S,9)</f>
        <v>0</v>
      </c>
      <c r="P17" s="95">
        <f>_xlfn.COUNTIFS('別紙2-1出動実績報告表'!$O:$O,4,'別紙2-1出動実績報告表'!$P:$P,4,'別紙2-1出動実績報告表'!$Q:$Q,1,'別紙2-1出動実績報告表'!$R:$R,2,'別紙2-1出動実績報告表'!$S:$S,9)</f>
        <v>0</v>
      </c>
      <c r="Q17" s="95">
        <f>_xlfn.COUNTIFS('別紙2-1出動実績報告表'!$O:$O,5,'別紙2-1出動実績報告表'!$P:$P,1,'別紙2-1出動実績報告表'!$Q:$Q,1,'別紙2-1出動実績報告表'!$R:$R,2,'別紙2-1出動実績報告表'!$S:$S,9)</f>
        <v>0</v>
      </c>
      <c r="R17" s="95">
        <f>_xlfn.COUNTIFS('別紙2-1出動実績報告表'!$O:$O,9,'別紙2-1出動実績報告表'!$P:$P,9,'別紙2-1出動実績報告表'!$Q:$Q,1,'別紙2-1出動実績報告表'!$R:$R,2,'別紙2-1出動実績報告表'!$S:$S,9)</f>
        <v>0</v>
      </c>
      <c r="S17" s="95">
        <f>_xlfn.COUNTIFS('別紙2-1出動実績報告表'!$O:$O,0,'別紙2-1出動実績報告表'!$P:$P,0,'別紙2-1出動実績報告表'!$Q:$Q,1,'別紙2-1出動実績報告表'!$R:$R,2,'別紙2-1出動実績報告表'!$S:$S,9)</f>
        <v>0</v>
      </c>
      <c r="T17" s="95">
        <f t="shared" si="0"/>
        <v>0</v>
      </c>
      <c r="U17" s="96"/>
    </row>
    <row r="18" spans="1:21" ht="15" customHeight="1">
      <c r="A18" s="97"/>
      <c r="B18" s="79" t="s">
        <v>166</v>
      </c>
      <c r="C18" s="99" t="s">
        <v>167</v>
      </c>
      <c r="D18" s="98" t="s">
        <v>168</v>
      </c>
      <c r="E18" s="95">
        <f>_xlfn.COUNTIFS('別紙2-1出動実績報告表'!$O:$O,1,'別紙2-1出動実績報告表'!$P:$P,1,'別紙2-1出動実績報告表'!$Q:$Q,1,'別紙2-1出動実績報告表'!$R:$R,3,'別紙2-1出動実績報告表'!$S:$S,1)</f>
        <v>0</v>
      </c>
      <c r="F18" s="95">
        <f>_xlfn.COUNTIFS('別紙2-1出動実績報告表'!$O:$O,1,'別紙2-1出動実績報告表'!$P:$P,2,'別紙2-1出動実績報告表'!$Q:$Q,1,'別紙2-1出動実績報告表'!$R:$R,3,'別紙2-1出動実績報告表'!$S:$S,1)</f>
        <v>0</v>
      </c>
      <c r="G18" s="95">
        <f>_xlfn.COUNTIFS('別紙2-1出動実績報告表'!$O:$O,1,'別紙2-1出動実績報告表'!$P:$P,3,'別紙2-1出動実績報告表'!$Q:$Q,1,'別紙2-1出動実績報告表'!$R:$R,3,'別紙2-1出動実績報告表'!$S:$S,1)</f>
        <v>0</v>
      </c>
      <c r="H18" s="95">
        <f>_xlfn.COUNTIFS('別紙2-1出動実績報告表'!$O:$O,2,'別紙2-1出動実績報告表'!$P:$P,1,'別紙2-1出動実績報告表'!$Q:$Q,1,'別紙2-1出動実績報告表'!$R:$R,3,'別紙2-1出動実績報告表'!$S:$S,1)</f>
        <v>0</v>
      </c>
      <c r="I18" s="95">
        <f>_xlfn.COUNTIFS('別紙2-1出動実績報告表'!$O:$O,2,'別紙2-1出動実績報告表'!$P:$P,2,'別紙2-1出動実績報告表'!$Q:$Q,1,'別紙2-1出動実績報告表'!$R:$R,3,'別紙2-1出動実績報告表'!$S:$S,1)</f>
        <v>0</v>
      </c>
      <c r="J18" s="95">
        <f>_xlfn.COUNTIFS('別紙2-1出動実績報告表'!$O:$O,3,'別紙2-1出動実績報告表'!$P:$P,1,'別紙2-1出動実績報告表'!$Q:$Q,1,'別紙2-1出動実績報告表'!$R:$R,3,'別紙2-1出動実績報告表'!$S:$S,1)</f>
        <v>0</v>
      </c>
      <c r="K18" s="95">
        <f>_xlfn.COUNTIFS('別紙2-1出動実績報告表'!$O:$O,3,'別紙2-1出動実績報告表'!$P:$P,2,'別紙2-1出動実績報告表'!$Q:$Q,1,'別紙2-1出動実績報告表'!$R:$R,3,'別紙2-1出動実績報告表'!$S:$S,1)</f>
        <v>0</v>
      </c>
      <c r="L18" s="95">
        <f>_xlfn.COUNTIFS('別紙2-1出動実績報告表'!$O:$O,3,'別紙2-1出動実績報告表'!$P:$P,3,'別紙2-1出動実績報告表'!$Q:$Q,1,'別紙2-1出動実績報告表'!$R:$R,3,'別紙2-1出動実績報告表'!$S:$S,1)</f>
        <v>0</v>
      </c>
      <c r="M18" s="95">
        <f>_xlfn.COUNTIFS('別紙2-1出動実績報告表'!$O:$O,4,'別紙2-1出動実績報告表'!$P:$P,1,'別紙2-1出動実績報告表'!$Q:$Q,1,'別紙2-1出動実績報告表'!$R:$R,3,'別紙2-1出動実績報告表'!$S:$S,1)</f>
        <v>0</v>
      </c>
      <c r="N18" s="95">
        <f>_xlfn.COUNTIFS('別紙2-1出動実績報告表'!$O:$O,4,'別紙2-1出動実績報告表'!$P:$P,2,'別紙2-1出動実績報告表'!$Q:$Q,1,'別紙2-1出動実績報告表'!$R:$R,3,'別紙2-1出動実績報告表'!$S:$S,1)</f>
        <v>0</v>
      </c>
      <c r="O18" s="95">
        <f>_xlfn.COUNTIFS('別紙2-1出動実績報告表'!$O:$O,4,'別紙2-1出動実績報告表'!$P:$P,3,'別紙2-1出動実績報告表'!$Q:$Q,1,'別紙2-1出動実績報告表'!$R:$R,3,'別紙2-1出動実績報告表'!$S:$S,1)</f>
        <v>0</v>
      </c>
      <c r="P18" s="95">
        <f>_xlfn.COUNTIFS('別紙2-1出動実績報告表'!$O:$O,4,'別紙2-1出動実績報告表'!$P:$P,4,'別紙2-1出動実績報告表'!$Q:$Q,1,'別紙2-1出動実績報告表'!$R:$R,3,'別紙2-1出動実績報告表'!$S:$S,1)</f>
        <v>0</v>
      </c>
      <c r="Q18" s="95">
        <f>_xlfn.COUNTIFS('別紙2-1出動実績報告表'!$O:$O,5,'別紙2-1出動実績報告表'!$P:$P,1,'別紙2-1出動実績報告表'!$Q:$Q,1,'別紙2-1出動実績報告表'!$R:$R,3,'別紙2-1出動実績報告表'!$S:$S,1)</f>
        <v>0</v>
      </c>
      <c r="R18" s="95">
        <f>_xlfn.COUNTIFS('別紙2-1出動実績報告表'!$O:$O,9,'別紙2-1出動実績報告表'!$P:$P,9,'別紙2-1出動実績報告表'!$Q:$Q,1,'別紙2-1出動実績報告表'!$R:$R,3,'別紙2-1出動実績報告表'!$S:$S,1)</f>
        <v>0</v>
      </c>
      <c r="S18" s="95">
        <f>_xlfn.COUNTIFS('別紙2-1出動実績報告表'!$O:$O,0,'別紙2-1出動実績報告表'!$P:$P,0,'別紙2-1出動実績報告表'!$Q:$Q,1,'別紙2-1出動実績報告表'!$R:$R,3,'別紙2-1出動実績報告表'!$S:$S,1)</f>
        <v>0</v>
      </c>
      <c r="T18" s="95">
        <f t="shared" si="0"/>
        <v>0</v>
      </c>
      <c r="U18" s="96"/>
    </row>
    <row r="19" spans="1:21" ht="15" customHeight="1">
      <c r="A19" s="97"/>
      <c r="B19" s="79"/>
      <c r="C19" s="93" t="s">
        <v>169</v>
      </c>
      <c r="D19" s="98" t="s">
        <v>170</v>
      </c>
      <c r="E19" s="95">
        <f>_xlfn.COUNTIFS('別紙2-1出動実績報告表'!$O:$O,1,'別紙2-1出動実績報告表'!$P:$P,1,'別紙2-1出動実績報告表'!$Q:$Q,1,'別紙2-1出動実績報告表'!$R:$R,3,'別紙2-1出動実績報告表'!$S:$S,2)</f>
        <v>0</v>
      </c>
      <c r="F19" s="95">
        <f>_xlfn.COUNTIFS('別紙2-1出動実績報告表'!$O:$O,1,'別紙2-1出動実績報告表'!$P:$P,2,'別紙2-1出動実績報告表'!$Q:$Q,1,'別紙2-1出動実績報告表'!$R:$R,3,'別紙2-1出動実績報告表'!$S:$S,2)</f>
        <v>0</v>
      </c>
      <c r="G19" s="95">
        <f>_xlfn.COUNTIFS('別紙2-1出動実績報告表'!$O:$O,1,'別紙2-1出動実績報告表'!$P:$P,3,'別紙2-1出動実績報告表'!$Q:$Q,1,'別紙2-1出動実績報告表'!$R:$R,3,'別紙2-1出動実績報告表'!$S:$S,2)</f>
        <v>0</v>
      </c>
      <c r="H19" s="95">
        <f>_xlfn.COUNTIFS('別紙2-1出動実績報告表'!$O:$O,2,'別紙2-1出動実績報告表'!$P:$P,1,'別紙2-1出動実績報告表'!$Q:$Q,1,'別紙2-1出動実績報告表'!$R:$R,3,'別紙2-1出動実績報告表'!$S:$S,2)</f>
        <v>0</v>
      </c>
      <c r="I19" s="95">
        <f>_xlfn.COUNTIFS('別紙2-1出動実績報告表'!$O:$O,2,'別紙2-1出動実績報告表'!$P:$P,2,'別紙2-1出動実績報告表'!$Q:$Q,1,'別紙2-1出動実績報告表'!$R:$R,3,'別紙2-1出動実績報告表'!$S:$S,2)</f>
        <v>0</v>
      </c>
      <c r="J19" s="95">
        <f>_xlfn.COUNTIFS('別紙2-1出動実績報告表'!$O:$O,3,'別紙2-1出動実績報告表'!$P:$P,1,'別紙2-1出動実績報告表'!$Q:$Q,1,'別紙2-1出動実績報告表'!$R:$R,3,'別紙2-1出動実績報告表'!$S:$S,2)</f>
        <v>0</v>
      </c>
      <c r="K19" s="95">
        <f>_xlfn.COUNTIFS('別紙2-1出動実績報告表'!$O:$O,3,'別紙2-1出動実績報告表'!$P:$P,2,'別紙2-1出動実績報告表'!$Q:$Q,1,'別紙2-1出動実績報告表'!$R:$R,3,'別紙2-1出動実績報告表'!$S:$S,2)</f>
        <v>0</v>
      </c>
      <c r="L19" s="95">
        <f>_xlfn.COUNTIFS('別紙2-1出動実績報告表'!$O:$O,3,'別紙2-1出動実績報告表'!$P:$P,3,'別紙2-1出動実績報告表'!$Q:$Q,1,'別紙2-1出動実績報告表'!$R:$R,3,'別紙2-1出動実績報告表'!$S:$S,2)</f>
        <v>0</v>
      </c>
      <c r="M19" s="95">
        <f>_xlfn.COUNTIFS('別紙2-1出動実績報告表'!$O:$O,4,'別紙2-1出動実績報告表'!$P:$P,1,'別紙2-1出動実績報告表'!$Q:$Q,1,'別紙2-1出動実績報告表'!$R:$R,3,'別紙2-1出動実績報告表'!$S:$S,2)</f>
        <v>0</v>
      </c>
      <c r="N19" s="95">
        <f>_xlfn.COUNTIFS('別紙2-1出動実績報告表'!$O:$O,4,'別紙2-1出動実績報告表'!$P:$P,2,'別紙2-1出動実績報告表'!$Q:$Q,1,'別紙2-1出動実績報告表'!$R:$R,3,'別紙2-1出動実績報告表'!$S:$S,2)</f>
        <v>0</v>
      </c>
      <c r="O19" s="95">
        <f>_xlfn.COUNTIFS('別紙2-1出動実績報告表'!$O:$O,4,'別紙2-1出動実績報告表'!$P:$P,3,'別紙2-1出動実績報告表'!$Q:$Q,1,'別紙2-1出動実績報告表'!$R:$R,3,'別紙2-1出動実績報告表'!$S:$S,2)</f>
        <v>0</v>
      </c>
      <c r="P19" s="95">
        <f>_xlfn.COUNTIFS('別紙2-1出動実績報告表'!$O:$O,4,'別紙2-1出動実績報告表'!$P:$P,4,'別紙2-1出動実績報告表'!$Q:$Q,1,'別紙2-1出動実績報告表'!$R:$R,3,'別紙2-1出動実績報告表'!$S:$S,2)</f>
        <v>0</v>
      </c>
      <c r="Q19" s="95">
        <f>_xlfn.COUNTIFS('別紙2-1出動実績報告表'!$O:$O,5,'別紙2-1出動実績報告表'!$P:$P,1,'別紙2-1出動実績報告表'!$Q:$Q,1,'別紙2-1出動実績報告表'!$R:$R,3,'別紙2-1出動実績報告表'!$S:$S,2)</f>
        <v>0</v>
      </c>
      <c r="R19" s="95">
        <f>_xlfn.COUNTIFS('別紙2-1出動実績報告表'!$O:$O,9,'別紙2-1出動実績報告表'!$P:$P,9,'別紙2-1出動実績報告表'!$Q:$Q,1,'別紙2-1出動実績報告表'!$R:$R,3,'別紙2-1出動実績報告表'!$S:$S,2)</f>
        <v>0</v>
      </c>
      <c r="S19" s="95">
        <f>_xlfn.COUNTIFS('別紙2-1出動実績報告表'!$O:$O,0,'別紙2-1出動実績報告表'!$P:$P,0,'別紙2-1出動実績報告表'!$Q:$Q,1,'別紙2-1出動実績報告表'!$R:$R,3,'別紙2-1出動実績報告表'!$S:$S,2)</f>
        <v>0</v>
      </c>
      <c r="T19" s="95">
        <f t="shared" si="0"/>
        <v>0</v>
      </c>
      <c r="U19" s="96"/>
    </row>
    <row r="20" spans="1:21" ht="15" customHeight="1">
      <c r="A20" s="97"/>
      <c r="B20" s="79"/>
      <c r="C20" s="93" t="s">
        <v>171</v>
      </c>
      <c r="D20" s="98" t="s">
        <v>172</v>
      </c>
      <c r="E20" s="95">
        <f>_xlfn.COUNTIFS('別紙2-1出動実績報告表'!$O:$O,1,'別紙2-1出動実績報告表'!$P:$P,1,'別紙2-1出動実績報告表'!$Q:$Q,1,'別紙2-1出動実績報告表'!$R:$R,3,'別紙2-1出動実績報告表'!$S:$S,3)</f>
        <v>0</v>
      </c>
      <c r="F20" s="95">
        <f>_xlfn.COUNTIFS('別紙2-1出動実績報告表'!$O:$O,1,'別紙2-1出動実績報告表'!$P:$P,2,'別紙2-1出動実績報告表'!$Q:$Q,1,'別紙2-1出動実績報告表'!$R:$R,3,'別紙2-1出動実績報告表'!$S:$S,3)</f>
        <v>0</v>
      </c>
      <c r="G20" s="95">
        <f>_xlfn.COUNTIFS('別紙2-1出動実績報告表'!$O:$O,1,'別紙2-1出動実績報告表'!$P:$P,3,'別紙2-1出動実績報告表'!$Q:$Q,1,'別紙2-1出動実績報告表'!$R:$R,3,'別紙2-1出動実績報告表'!$S:$S,3)</f>
        <v>0</v>
      </c>
      <c r="H20" s="95">
        <f>_xlfn.COUNTIFS('別紙2-1出動実績報告表'!$O:$O,2,'別紙2-1出動実績報告表'!$P:$P,1,'別紙2-1出動実績報告表'!$Q:$Q,1,'別紙2-1出動実績報告表'!$R:$R,3,'別紙2-1出動実績報告表'!$S:$S,3)</f>
        <v>0</v>
      </c>
      <c r="I20" s="95">
        <f>_xlfn.COUNTIFS('別紙2-1出動実績報告表'!$O:$O,2,'別紙2-1出動実績報告表'!$P:$P,2,'別紙2-1出動実績報告表'!$Q:$Q,1,'別紙2-1出動実績報告表'!$R:$R,3,'別紙2-1出動実績報告表'!$S:$S,3)</f>
        <v>0</v>
      </c>
      <c r="J20" s="95">
        <f>_xlfn.COUNTIFS('別紙2-1出動実績報告表'!$O:$O,3,'別紙2-1出動実績報告表'!$P:$P,1,'別紙2-1出動実績報告表'!$Q:$Q,1,'別紙2-1出動実績報告表'!$R:$R,3,'別紙2-1出動実績報告表'!$S:$S,3)</f>
        <v>0</v>
      </c>
      <c r="K20" s="95">
        <f>_xlfn.COUNTIFS('別紙2-1出動実績報告表'!$O:$O,3,'別紙2-1出動実績報告表'!$P:$P,2,'別紙2-1出動実績報告表'!$Q:$Q,1,'別紙2-1出動実績報告表'!$R:$R,3,'別紙2-1出動実績報告表'!$S:$S,3)</f>
        <v>0</v>
      </c>
      <c r="L20" s="95">
        <f>_xlfn.COUNTIFS('別紙2-1出動実績報告表'!$O:$O,3,'別紙2-1出動実績報告表'!$P:$P,3,'別紙2-1出動実績報告表'!$Q:$Q,1,'別紙2-1出動実績報告表'!$R:$R,3,'別紙2-1出動実績報告表'!$S:$S,3)</f>
        <v>0</v>
      </c>
      <c r="M20" s="95">
        <f>_xlfn.COUNTIFS('別紙2-1出動実績報告表'!$O:$O,4,'別紙2-1出動実績報告表'!$P:$P,1,'別紙2-1出動実績報告表'!$Q:$Q,1,'別紙2-1出動実績報告表'!$R:$R,3,'別紙2-1出動実績報告表'!$S:$S,3)</f>
        <v>0</v>
      </c>
      <c r="N20" s="95">
        <f>_xlfn.COUNTIFS('別紙2-1出動実績報告表'!$O:$O,4,'別紙2-1出動実績報告表'!$P:$P,2,'別紙2-1出動実績報告表'!$Q:$Q,1,'別紙2-1出動実績報告表'!$R:$R,3,'別紙2-1出動実績報告表'!$S:$S,3)</f>
        <v>0</v>
      </c>
      <c r="O20" s="95">
        <f>_xlfn.COUNTIFS('別紙2-1出動実績報告表'!$O:$O,4,'別紙2-1出動実績報告表'!$P:$P,3,'別紙2-1出動実績報告表'!$Q:$Q,1,'別紙2-1出動実績報告表'!$R:$R,3,'別紙2-1出動実績報告表'!$S:$S,3)</f>
        <v>0</v>
      </c>
      <c r="P20" s="95">
        <f>_xlfn.COUNTIFS('別紙2-1出動実績報告表'!$O:$O,4,'別紙2-1出動実績報告表'!$P:$P,4,'別紙2-1出動実績報告表'!$Q:$Q,1,'別紙2-1出動実績報告表'!$R:$R,3,'別紙2-1出動実績報告表'!$S:$S,3)</f>
        <v>0</v>
      </c>
      <c r="Q20" s="95">
        <f>_xlfn.COUNTIFS('別紙2-1出動実績報告表'!$O:$O,5,'別紙2-1出動実績報告表'!$P:$P,1,'別紙2-1出動実績報告表'!$Q:$Q,1,'別紙2-1出動実績報告表'!$R:$R,3,'別紙2-1出動実績報告表'!$S:$S,3)</f>
        <v>0</v>
      </c>
      <c r="R20" s="95">
        <f>_xlfn.COUNTIFS('別紙2-1出動実績報告表'!$O:$O,9,'別紙2-1出動実績報告表'!$P:$P,9,'別紙2-1出動実績報告表'!$Q:$Q,1,'別紙2-1出動実績報告表'!$R:$R,3,'別紙2-1出動実績報告表'!$S:$S,3)</f>
        <v>0</v>
      </c>
      <c r="S20" s="95">
        <f>_xlfn.COUNTIFS('別紙2-1出動実績報告表'!$O:$O,0,'別紙2-1出動実績報告表'!$P:$P,0,'別紙2-1出動実績報告表'!$Q:$Q,1,'別紙2-1出動実績報告表'!$R:$R,3,'別紙2-1出動実績報告表'!$S:$S,3)</f>
        <v>0</v>
      </c>
      <c r="T20" s="95">
        <f t="shared" si="0"/>
        <v>0</v>
      </c>
      <c r="U20" s="96"/>
    </row>
    <row r="21" spans="1:21" ht="15" customHeight="1">
      <c r="A21" s="97"/>
      <c r="B21" s="79"/>
      <c r="C21" s="93" t="s">
        <v>173</v>
      </c>
      <c r="D21" s="98" t="s">
        <v>174</v>
      </c>
      <c r="E21" s="95">
        <f>_xlfn.COUNTIFS('別紙2-1出動実績報告表'!$O:$O,1,'別紙2-1出動実績報告表'!$P:$P,1,'別紙2-1出動実績報告表'!$Q:$Q,1,'別紙2-1出動実績報告表'!$R:$R,3,'別紙2-1出動実績報告表'!$S:$S,4)</f>
        <v>0</v>
      </c>
      <c r="F21" s="95">
        <f>_xlfn.COUNTIFS('別紙2-1出動実績報告表'!$O:$O,1,'別紙2-1出動実績報告表'!$P:$P,2,'別紙2-1出動実績報告表'!$Q:$Q,1,'別紙2-1出動実績報告表'!$R:$R,3,'別紙2-1出動実績報告表'!$S:$S,4)</f>
        <v>0</v>
      </c>
      <c r="G21" s="95">
        <f>_xlfn.COUNTIFS('別紙2-1出動実績報告表'!$O:$O,1,'別紙2-1出動実績報告表'!$P:$P,3,'別紙2-1出動実績報告表'!$Q:$Q,1,'別紙2-1出動実績報告表'!$R:$R,3,'別紙2-1出動実績報告表'!$S:$S,4)</f>
        <v>0</v>
      </c>
      <c r="H21" s="95">
        <f>_xlfn.COUNTIFS('別紙2-1出動実績報告表'!$O:$O,2,'別紙2-1出動実績報告表'!$P:$P,1,'別紙2-1出動実績報告表'!$Q:$Q,1,'別紙2-1出動実績報告表'!$R:$R,3,'別紙2-1出動実績報告表'!$S:$S,4)</f>
        <v>0</v>
      </c>
      <c r="I21" s="95">
        <f>_xlfn.COUNTIFS('別紙2-1出動実績報告表'!$O:$O,2,'別紙2-1出動実績報告表'!$P:$P,2,'別紙2-1出動実績報告表'!$Q:$Q,1,'別紙2-1出動実績報告表'!$R:$R,3,'別紙2-1出動実績報告表'!$S:$S,4)</f>
        <v>0</v>
      </c>
      <c r="J21" s="95">
        <f>_xlfn.COUNTIFS('別紙2-1出動実績報告表'!$O:$O,3,'別紙2-1出動実績報告表'!$P:$P,1,'別紙2-1出動実績報告表'!$Q:$Q,1,'別紙2-1出動実績報告表'!$R:$R,3,'別紙2-1出動実績報告表'!$S:$S,4)</f>
        <v>0</v>
      </c>
      <c r="K21" s="95">
        <f>_xlfn.COUNTIFS('別紙2-1出動実績報告表'!$O:$O,3,'別紙2-1出動実績報告表'!$P:$P,2,'別紙2-1出動実績報告表'!$Q:$Q,1,'別紙2-1出動実績報告表'!$R:$R,3,'別紙2-1出動実績報告表'!$S:$S,4)</f>
        <v>0</v>
      </c>
      <c r="L21" s="95">
        <f>_xlfn.COUNTIFS('別紙2-1出動実績報告表'!$O:$O,3,'別紙2-1出動実績報告表'!$P:$P,3,'別紙2-1出動実績報告表'!$Q:$Q,1,'別紙2-1出動実績報告表'!$R:$R,3,'別紙2-1出動実績報告表'!$S:$S,4)</f>
        <v>0</v>
      </c>
      <c r="M21" s="95">
        <f>_xlfn.COUNTIFS('別紙2-1出動実績報告表'!$O:$O,4,'別紙2-1出動実績報告表'!$P:$P,1,'別紙2-1出動実績報告表'!$Q:$Q,1,'別紙2-1出動実績報告表'!$R:$R,3,'別紙2-1出動実績報告表'!$S:$S,4)</f>
        <v>0</v>
      </c>
      <c r="N21" s="95">
        <f>_xlfn.COUNTIFS('別紙2-1出動実績報告表'!$O:$O,4,'別紙2-1出動実績報告表'!$P:$P,2,'別紙2-1出動実績報告表'!$Q:$Q,1,'別紙2-1出動実績報告表'!$R:$R,3,'別紙2-1出動実績報告表'!$S:$S,4)</f>
        <v>0</v>
      </c>
      <c r="O21" s="95">
        <f>_xlfn.COUNTIFS('別紙2-1出動実績報告表'!$O:$O,4,'別紙2-1出動実績報告表'!$P:$P,3,'別紙2-1出動実績報告表'!$Q:$Q,1,'別紙2-1出動実績報告表'!$R:$R,3,'別紙2-1出動実績報告表'!$S:$S,4)</f>
        <v>0</v>
      </c>
      <c r="P21" s="95">
        <f>_xlfn.COUNTIFS('別紙2-1出動実績報告表'!$O:$O,4,'別紙2-1出動実績報告表'!$P:$P,4,'別紙2-1出動実績報告表'!$Q:$Q,1,'別紙2-1出動実績報告表'!$R:$R,3,'別紙2-1出動実績報告表'!$S:$S,4)</f>
        <v>0</v>
      </c>
      <c r="Q21" s="95">
        <f>_xlfn.COUNTIFS('別紙2-1出動実績報告表'!$O:$O,5,'別紙2-1出動実績報告表'!$P:$P,1,'別紙2-1出動実績報告表'!$Q:$Q,1,'別紙2-1出動実績報告表'!$R:$R,3,'別紙2-1出動実績報告表'!$S:$S,4)</f>
        <v>0</v>
      </c>
      <c r="R21" s="95">
        <f>_xlfn.COUNTIFS('別紙2-1出動実績報告表'!$O:$O,9,'別紙2-1出動実績報告表'!$P:$P,9,'別紙2-1出動実績報告表'!$Q:$Q,1,'別紙2-1出動実績報告表'!$R:$R,3,'別紙2-1出動実績報告表'!$S:$S,4)</f>
        <v>0</v>
      </c>
      <c r="S21" s="95">
        <f>_xlfn.COUNTIFS('別紙2-1出動実績報告表'!$O:$O,0,'別紙2-1出動実績報告表'!$P:$P,0,'別紙2-1出動実績報告表'!$Q:$Q,1,'別紙2-1出動実績報告表'!$R:$R,3,'別紙2-1出動実績報告表'!$S:$S,4)</f>
        <v>0</v>
      </c>
      <c r="T21" s="95">
        <f t="shared" si="0"/>
        <v>0</v>
      </c>
      <c r="U21" s="96"/>
    </row>
    <row r="22" spans="1:21" ht="15" customHeight="1">
      <c r="A22" s="97"/>
      <c r="B22" s="79" t="s">
        <v>175</v>
      </c>
      <c r="C22" s="94"/>
      <c r="D22" s="98" t="s">
        <v>162</v>
      </c>
      <c r="E22" s="95">
        <f>_xlfn.COUNTIFS('別紙2-1出動実績報告表'!$O:$O,1,'別紙2-1出動実績報告表'!$P:$P,1,'別紙2-1出動実績報告表'!$Q:$Q,1,'別紙2-1出動実績報告表'!$R:$R,3,'別紙2-1出動実績報告表'!$S:$S,9)</f>
        <v>0</v>
      </c>
      <c r="F22" s="95">
        <f>_xlfn.COUNTIFS('別紙2-1出動実績報告表'!$O:$O,1,'別紙2-1出動実績報告表'!$P:$P,2,'別紙2-1出動実績報告表'!$Q:$Q,1,'別紙2-1出動実績報告表'!$R:$R,3,'別紙2-1出動実績報告表'!$S:$S,9)</f>
        <v>0</v>
      </c>
      <c r="G22" s="95">
        <f>_xlfn.COUNTIFS('別紙2-1出動実績報告表'!$O:$O,1,'別紙2-1出動実績報告表'!$P:$P,3,'別紙2-1出動実績報告表'!$Q:$Q,1,'別紙2-1出動実績報告表'!$R:$R,3,'別紙2-1出動実績報告表'!$S:$S,9)</f>
        <v>0</v>
      </c>
      <c r="H22" s="95">
        <f>_xlfn.COUNTIFS('別紙2-1出動実績報告表'!$O:$O,2,'別紙2-1出動実績報告表'!$P:$P,1,'別紙2-1出動実績報告表'!$Q:$Q,1,'別紙2-1出動実績報告表'!$R:$R,3,'別紙2-1出動実績報告表'!$S:$S,9)</f>
        <v>0</v>
      </c>
      <c r="I22" s="95">
        <f>_xlfn.COUNTIFS('別紙2-1出動実績報告表'!$O:$O,2,'別紙2-1出動実績報告表'!$P:$P,2,'別紙2-1出動実績報告表'!$Q:$Q,1,'別紙2-1出動実績報告表'!$R:$R,3,'別紙2-1出動実績報告表'!$S:$S,9)</f>
        <v>0</v>
      </c>
      <c r="J22" s="95">
        <f>_xlfn.COUNTIFS('別紙2-1出動実績報告表'!$O:$O,3,'別紙2-1出動実績報告表'!$P:$P,1,'別紙2-1出動実績報告表'!$Q:$Q,1,'別紙2-1出動実績報告表'!$R:$R,3,'別紙2-1出動実績報告表'!$S:$S,9)</f>
        <v>0</v>
      </c>
      <c r="K22" s="95">
        <f>_xlfn.COUNTIFS('別紙2-1出動実績報告表'!$O:$O,3,'別紙2-1出動実績報告表'!$P:$P,2,'別紙2-1出動実績報告表'!$Q:$Q,1,'別紙2-1出動実績報告表'!$R:$R,3,'別紙2-1出動実績報告表'!$S:$S,9)</f>
        <v>0</v>
      </c>
      <c r="L22" s="95">
        <f>_xlfn.COUNTIFS('別紙2-1出動実績報告表'!$O:$O,3,'別紙2-1出動実績報告表'!$P:$P,3,'別紙2-1出動実績報告表'!$Q:$Q,1,'別紙2-1出動実績報告表'!$R:$R,3,'別紙2-1出動実績報告表'!$S:$S,9)</f>
        <v>0</v>
      </c>
      <c r="M22" s="95">
        <f>_xlfn.COUNTIFS('別紙2-1出動実績報告表'!$O:$O,4,'別紙2-1出動実績報告表'!$P:$P,1,'別紙2-1出動実績報告表'!$Q:$Q,1,'別紙2-1出動実績報告表'!$R:$R,3,'別紙2-1出動実績報告表'!$S:$S,9)</f>
        <v>0</v>
      </c>
      <c r="N22" s="95">
        <f>_xlfn.COUNTIFS('別紙2-1出動実績報告表'!$O:$O,4,'別紙2-1出動実績報告表'!$P:$P,2,'別紙2-1出動実績報告表'!$Q:$Q,1,'別紙2-1出動実績報告表'!$R:$R,3,'別紙2-1出動実績報告表'!$S:$S,9)</f>
        <v>0</v>
      </c>
      <c r="O22" s="95">
        <f>_xlfn.COUNTIFS('別紙2-1出動実績報告表'!$O:$O,4,'別紙2-1出動実績報告表'!$P:$P,3,'別紙2-1出動実績報告表'!$Q:$Q,1,'別紙2-1出動実績報告表'!$R:$R,3,'別紙2-1出動実績報告表'!$S:$S,9)</f>
        <v>0</v>
      </c>
      <c r="P22" s="95">
        <f>_xlfn.COUNTIFS('別紙2-1出動実績報告表'!$O:$O,4,'別紙2-1出動実績報告表'!$P:$P,4,'別紙2-1出動実績報告表'!$Q:$Q,1,'別紙2-1出動実績報告表'!$R:$R,3,'別紙2-1出動実績報告表'!$S:$S,9)</f>
        <v>0</v>
      </c>
      <c r="Q22" s="95">
        <f>_xlfn.COUNTIFS('別紙2-1出動実績報告表'!$O:$O,5,'別紙2-1出動実績報告表'!$P:$P,1,'別紙2-1出動実績報告表'!$Q:$Q,1,'別紙2-1出動実績報告表'!$R:$R,3,'別紙2-1出動実績報告表'!$S:$S,9)</f>
        <v>0</v>
      </c>
      <c r="R22" s="95">
        <f>_xlfn.COUNTIFS('別紙2-1出動実績報告表'!$O:$O,9,'別紙2-1出動実績報告表'!$P:$P,9,'別紙2-1出動実績報告表'!$Q:$Q,1,'別紙2-1出動実績報告表'!$R:$R,3,'別紙2-1出動実績報告表'!$S:$S,9)</f>
        <v>0</v>
      </c>
      <c r="S22" s="95">
        <f>_xlfn.COUNTIFS('別紙2-1出動実績報告表'!$O:$O,0,'別紙2-1出動実績報告表'!$P:$P,0,'別紙2-1出動実績報告表'!$Q:$Q,1,'別紙2-1出動実績報告表'!$R:$R,3,'別紙2-1出動実績報告表'!$S:$S,9)</f>
        <v>0</v>
      </c>
      <c r="T22" s="95">
        <f t="shared" si="0"/>
        <v>0</v>
      </c>
      <c r="U22" s="96"/>
    </row>
    <row r="23" spans="1:21" ht="15" customHeight="1">
      <c r="A23" s="97"/>
      <c r="B23" s="79"/>
      <c r="C23" s="99" t="s">
        <v>159</v>
      </c>
      <c r="D23" s="98" t="s">
        <v>176</v>
      </c>
      <c r="E23" s="95">
        <f>_xlfn.COUNTIFS('別紙2-1出動実績報告表'!$O:$O,1,'別紙2-1出動実績報告表'!$P:$P,1,'別紙2-1出動実績報告表'!$Q:$Q,1,'別紙2-1出動実績報告表'!$R:$R,4,'別紙2-1出動実績報告表'!$S:$S,1)</f>
        <v>0</v>
      </c>
      <c r="F23" s="95">
        <f>_xlfn.COUNTIFS('別紙2-1出動実績報告表'!$O:$O,1,'別紙2-1出動実績報告表'!$P:$P,2,'別紙2-1出動実績報告表'!$Q:$Q,1,'別紙2-1出動実績報告表'!$R:$R,4,'別紙2-1出動実績報告表'!$S:$S,1)</f>
        <v>0</v>
      </c>
      <c r="G23" s="95">
        <f>_xlfn.COUNTIFS('別紙2-1出動実績報告表'!$O:$O,1,'別紙2-1出動実績報告表'!$P:$P,3,'別紙2-1出動実績報告表'!$Q:$Q,1,'別紙2-1出動実績報告表'!$R:$R,4,'別紙2-1出動実績報告表'!$S:$S,1)</f>
        <v>0</v>
      </c>
      <c r="H23" s="95">
        <f>_xlfn.COUNTIFS('別紙2-1出動実績報告表'!$O:$O,2,'別紙2-1出動実績報告表'!$P:$P,1,'別紙2-1出動実績報告表'!$Q:$Q,1,'別紙2-1出動実績報告表'!$R:$R,4,'別紙2-1出動実績報告表'!$S:$S,1)</f>
        <v>0</v>
      </c>
      <c r="I23" s="95">
        <f>_xlfn.COUNTIFS('別紙2-1出動実績報告表'!$O:$O,2,'別紙2-1出動実績報告表'!$P:$P,2,'別紙2-1出動実績報告表'!$Q:$Q,1,'別紙2-1出動実績報告表'!$R:$R,4,'別紙2-1出動実績報告表'!$S:$S,1)</f>
        <v>0</v>
      </c>
      <c r="J23" s="95">
        <f>_xlfn.COUNTIFS('別紙2-1出動実績報告表'!$O:$O,3,'別紙2-1出動実績報告表'!$P:$P,1,'別紙2-1出動実績報告表'!$Q:$Q,1,'別紙2-1出動実績報告表'!$R:$R,4,'別紙2-1出動実績報告表'!$S:$S,1)</f>
        <v>0</v>
      </c>
      <c r="K23" s="95">
        <f>_xlfn.COUNTIFS('別紙2-1出動実績報告表'!$O:$O,3,'別紙2-1出動実績報告表'!$P:$P,2,'別紙2-1出動実績報告表'!$Q:$Q,1,'別紙2-1出動実績報告表'!$R:$R,4,'別紙2-1出動実績報告表'!$S:$S,1)</f>
        <v>0</v>
      </c>
      <c r="L23" s="95">
        <f>_xlfn.COUNTIFS('別紙2-1出動実績報告表'!$O:$O,3,'別紙2-1出動実績報告表'!$P:$P,3,'別紙2-1出動実績報告表'!$Q:$Q,1,'別紙2-1出動実績報告表'!$R:$R,4,'別紙2-1出動実績報告表'!$S:$S,1)</f>
        <v>0</v>
      </c>
      <c r="M23" s="95">
        <f>_xlfn.COUNTIFS('別紙2-1出動実績報告表'!$O:$O,4,'別紙2-1出動実績報告表'!$P:$P,1,'別紙2-1出動実績報告表'!$Q:$Q,1,'別紙2-1出動実績報告表'!$R:$R,4,'別紙2-1出動実績報告表'!$S:$S,1)</f>
        <v>0</v>
      </c>
      <c r="N23" s="95">
        <f>_xlfn.COUNTIFS('別紙2-1出動実績報告表'!$O:$O,4,'別紙2-1出動実績報告表'!$P:$P,2,'別紙2-1出動実績報告表'!$Q:$Q,1,'別紙2-1出動実績報告表'!$R:$R,4,'別紙2-1出動実績報告表'!$S:$S,1)</f>
        <v>0</v>
      </c>
      <c r="O23" s="95">
        <f>_xlfn.COUNTIFS('別紙2-1出動実績報告表'!$O:$O,4,'別紙2-1出動実績報告表'!$P:$P,3,'別紙2-1出動実績報告表'!$Q:$Q,1,'別紙2-1出動実績報告表'!$R:$R,4,'別紙2-1出動実績報告表'!$S:$S,1)</f>
        <v>0</v>
      </c>
      <c r="P23" s="95">
        <f>_xlfn.COUNTIFS('別紙2-1出動実績報告表'!$O:$O,4,'別紙2-1出動実績報告表'!$P:$P,4,'別紙2-1出動実績報告表'!$Q:$Q,1,'別紙2-1出動実績報告表'!$R:$R,4,'別紙2-1出動実績報告表'!$S:$S,1)</f>
        <v>0</v>
      </c>
      <c r="Q23" s="95">
        <f>_xlfn.COUNTIFS('別紙2-1出動実績報告表'!$O:$O,5,'別紙2-1出動実績報告表'!$P:$P,1,'別紙2-1出動実績報告表'!$Q:$Q,1,'別紙2-1出動実績報告表'!$R:$R,4,'別紙2-1出動実績報告表'!$S:$S,1)</f>
        <v>0</v>
      </c>
      <c r="R23" s="95">
        <f>_xlfn.COUNTIFS('別紙2-1出動実績報告表'!$O:$O,9,'別紙2-1出動実績報告表'!$P:$P,9,'別紙2-1出動実績報告表'!$Q:$Q,1,'別紙2-1出動実績報告表'!$R:$R,4,'別紙2-1出動実績報告表'!$S:$S,1)</f>
        <v>0</v>
      </c>
      <c r="S23" s="95">
        <f>_xlfn.COUNTIFS('別紙2-1出動実績報告表'!$O:$O,0,'別紙2-1出動実績報告表'!$P:$P,0,'別紙2-1出動実績報告表'!$Q:$Q,1,'別紙2-1出動実績報告表'!$R:$R,4,'別紙2-1出動実績報告表'!$S:$S,1)</f>
        <v>0</v>
      </c>
      <c r="T23" s="95">
        <f t="shared" si="0"/>
        <v>0</v>
      </c>
      <c r="U23" s="96"/>
    </row>
    <row r="24" spans="1:21" ht="15" customHeight="1">
      <c r="A24" s="97"/>
      <c r="B24" s="79"/>
      <c r="C24" s="93" t="s">
        <v>166</v>
      </c>
      <c r="D24" s="98" t="s">
        <v>177</v>
      </c>
      <c r="E24" s="95">
        <f>_xlfn.COUNTIFS('別紙2-1出動実績報告表'!$O:$O,1,'別紙2-1出動実績報告表'!$P:$P,1,'別紙2-1出動実績報告表'!$Q:$Q,1,'別紙2-1出動実績報告表'!$R:$R,4,'別紙2-1出動実績報告表'!$S:$S,2)</f>
        <v>0</v>
      </c>
      <c r="F24" s="95">
        <f>_xlfn.COUNTIFS('別紙2-1出動実績報告表'!$O:$O,1,'別紙2-1出動実績報告表'!$P:$P,2,'別紙2-1出動実績報告表'!$Q:$Q,1,'別紙2-1出動実績報告表'!$R:$R,4,'別紙2-1出動実績報告表'!$S:$S,2)</f>
        <v>0</v>
      </c>
      <c r="G24" s="95">
        <f>_xlfn.COUNTIFS('別紙2-1出動実績報告表'!$O:$O,1,'別紙2-1出動実績報告表'!$P:$P,3,'別紙2-1出動実績報告表'!$Q:$Q,1,'別紙2-1出動実績報告表'!$R:$R,4,'別紙2-1出動実績報告表'!$S:$S,2)</f>
        <v>0</v>
      </c>
      <c r="H24" s="95">
        <f>_xlfn.COUNTIFS('別紙2-1出動実績報告表'!$O:$O,2,'別紙2-1出動実績報告表'!$P:$P,1,'別紙2-1出動実績報告表'!$Q:$Q,1,'別紙2-1出動実績報告表'!$R:$R,4,'別紙2-1出動実績報告表'!$S:$S,2)</f>
        <v>0</v>
      </c>
      <c r="I24" s="95">
        <f>_xlfn.COUNTIFS('別紙2-1出動実績報告表'!$O:$O,2,'別紙2-1出動実績報告表'!$P:$P,2,'別紙2-1出動実績報告表'!$Q:$Q,1,'別紙2-1出動実績報告表'!$R:$R,4,'別紙2-1出動実績報告表'!$S:$S,2)</f>
        <v>0</v>
      </c>
      <c r="J24" s="95">
        <f>_xlfn.COUNTIFS('別紙2-1出動実績報告表'!$O:$O,3,'別紙2-1出動実績報告表'!$P:$P,1,'別紙2-1出動実績報告表'!$Q:$Q,1,'別紙2-1出動実績報告表'!$R:$R,4,'別紙2-1出動実績報告表'!$S:$S,2)</f>
        <v>0</v>
      </c>
      <c r="K24" s="95">
        <f>_xlfn.COUNTIFS('別紙2-1出動実績報告表'!$O:$O,3,'別紙2-1出動実績報告表'!$P:$P,2,'別紙2-1出動実績報告表'!$Q:$Q,1,'別紙2-1出動実績報告表'!$R:$R,4,'別紙2-1出動実績報告表'!$S:$S,2)</f>
        <v>0</v>
      </c>
      <c r="L24" s="95">
        <f>_xlfn.COUNTIFS('別紙2-1出動実績報告表'!$O:$O,3,'別紙2-1出動実績報告表'!$P:$P,3,'別紙2-1出動実績報告表'!$Q:$Q,1,'別紙2-1出動実績報告表'!$R:$R,4,'別紙2-1出動実績報告表'!$S:$S,2)</f>
        <v>0</v>
      </c>
      <c r="M24" s="95">
        <f>_xlfn.COUNTIFS('別紙2-1出動実績報告表'!$O:$O,4,'別紙2-1出動実績報告表'!$P:$P,1,'別紙2-1出動実績報告表'!$Q:$Q,1,'別紙2-1出動実績報告表'!$R:$R,4,'別紙2-1出動実績報告表'!$S:$S,2)</f>
        <v>0</v>
      </c>
      <c r="N24" s="95">
        <f>_xlfn.COUNTIFS('別紙2-1出動実績報告表'!$O:$O,4,'別紙2-1出動実績報告表'!$P:$P,2,'別紙2-1出動実績報告表'!$Q:$Q,1,'別紙2-1出動実績報告表'!$R:$R,4,'別紙2-1出動実績報告表'!$S:$S,2)</f>
        <v>0</v>
      </c>
      <c r="O24" s="95">
        <f>_xlfn.COUNTIFS('別紙2-1出動実績報告表'!$O:$O,4,'別紙2-1出動実績報告表'!$P:$P,3,'別紙2-1出動実績報告表'!$Q:$Q,1,'別紙2-1出動実績報告表'!$R:$R,4,'別紙2-1出動実績報告表'!$S:$S,2)</f>
        <v>0</v>
      </c>
      <c r="P24" s="95">
        <f>_xlfn.COUNTIFS('別紙2-1出動実績報告表'!$O:$O,4,'別紙2-1出動実績報告表'!$P:$P,4,'別紙2-1出動実績報告表'!$Q:$Q,1,'別紙2-1出動実績報告表'!$R:$R,4,'別紙2-1出動実績報告表'!$S:$S,2)</f>
        <v>0</v>
      </c>
      <c r="Q24" s="95">
        <f>_xlfn.COUNTIFS('別紙2-1出動実績報告表'!$O:$O,5,'別紙2-1出動実績報告表'!$P:$P,1,'別紙2-1出動実績報告表'!$Q:$Q,1,'別紙2-1出動実績報告表'!$R:$R,4,'別紙2-1出動実績報告表'!$S:$S,2)</f>
        <v>0</v>
      </c>
      <c r="R24" s="95">
        <f>_xlfn.COUNTIFS('別紙2-1出動実績報告表'!$O:$O,9,'別紙2-1出動実績報告表'!$P:$P,9,'別紙2-1出動実績報告表'!$Q:$Q,1,'別紙2-1出動実績報告表'!$R:$R,4,'別紙2-1出動実績報告表'!$S:$S,2)</f>
        <v>0</v>
      </c>
      <c r="S24" s="95">
        <f>_xlfn.COUNTIFS('別紙2-1出動実績報告表'!$O:$O,0,'別紙2-1出動実績報告表'!$P:$P,0,'別紙2-1出動実績報告表'!$Q:$Q,1,'別紙2-1出動実績報告表'!$R:$R,4,'別紙2-1出動実績報告表'!$S:$S,2)</f>
        <v>0</v>
      </c>
      <c r="T24" s="95">
        <f t="shared" si="0"/>
        <v>0</v>
      </c>
      <c r="U24" s="96"/>
    </row>
    <row r="25" spans="1:21" ht="15" customHeight="1">
      <c r="A25" s="97"/>
      <c r="B25" s="79"/>
      <c r="C25" s="93" t="s">
        <v>178</v>
      </c>
      <c r="D25" s="98" t="s">
        <v>179</v>
      </c>
      <c r="E25" s="95">
        <f>_xlfn.COUNTIFS('別紙2-1出動実績報告表'!$O:$O,1,'別紙2-1出動実績報告表'!$P:$P,1,'別紙2-1出動実績報告表'!$Q:$Q,1,'別紙2-1出動実績報告表'!$R:$R,4,'別紙2-1出動実績報告表'!$S:$S,3)</f>
        <v>0</v>
      </c>
      <c r="F25" s="95">
        <f>_xlfn.COUNTIFS('別紙2-1出動実績報告表'!$O:$O,1,'別紙2-1出動実績報告表'!$P:$P,2,'別紙2-1出動実績報告表'!$Q:$Q,1,'別紙2-1出動実績報告表'!$R:$R,4,'別紙2-1出動実績報告表'!$S:$S,3)</f>
        <v>0</v>
      </c>
      <c r="G25" s="95">
        <f>_xlfn.COUNTIFS('別紙2-1出動実績報告表'!$O:$O,1,'別紙2-1出動実績報告表'!$P:$P,3,'別紙2-1出動実績報告表'!$Q:$Q,1,'別紙2-1出動実績報告表'!$R:$R,4,'別紙2-1出動実績報告表'!$S:$S,3)</f>
        <v>0</v>
      </c>
      <c r="H25" s="95">
        <f>_xlfn.COUNTIFS('別紙2-1出動実績報告表'!$O:$O,2,'別紙2-1出動実績報告表'!$P:$P,1,'別紙2-1出動実績報告表'!$Q:$Q,1,'別紙2-1出動実績報告表'!$R:$R,4,'別紙2-1出動実績報告表'!$S:$S,3)</f>
        <v>0</v>
      </c>
      <c r="I25" s="95">
        <f>_xlfn.COUNTIFS('別紙2-1出動実績報告表'!$O:$O,2,'別紙2-1出動実績報告表'!$P:$P,2,'別紙2-1出動実績報告表'!$Q:$Q,1,'別紙2-1出動実績報告表'!$R:$R,4,'別紙2-1出動実績報告表'!$S:$S,3)</f>
        <v>0</v>
      </c>
      <c r="J25" s="95">
        <f>_xlfn.COUNTIFS('別紙2-1出動実績報告表'!$O:$O,3,'別紙2-1出動実績報告表'!$P:$P,1,'別紙2-1出動実績報告表'!$Q:$Q,1,'別紙2-1出動実績報告表'!$R:$R,4,'別紙2-1出動実績報告表'!$S:$S,3)</f>
        <v>0</v>
      </c>
      <c r="K25" s="95">
        <f>_xlfn.COUNTIFS('別紙2-1出動実績報告表'!$O:$O,3,'別紙2-1出動実績報告表'!$P:$P,2,'別紙2-1出動実績報告表'!$Q:$Q,1,'別紙2-1出動実績報告表'!$R:$R,4,'別紙2-1出動実績報告表'!$S:$S,3)</f>
        <v>0</v>
      </c>
      <c r="L25" s="95">
        <f>_xlfn.COUNTIFS('別紙2-1出動実績報告表'!$O:$O,3,'別紙2-1出動実績報告表'!$P:$P,3,'別紙2-1出動実績報告表'!$Q:$Q,1,'別紙2-1出動実績報告表'!$R:$R,4,'別紙2-1出動実績報告表'!$S:$S,3)</f>
        <v>0</v>
      </c>
      <c r="M25" s="95">
        <f>_xlfn.COUNTIFS('別紙2-1出動実績報告表'!$O:$O,4,'別紙2-1出動実績報告表'!$P:$P,1,'別紙2-1出動実績報告表'!$Q:$Q,1,'別紙2-1出動実績報告表'!$R:$R,4,'別紙2-1出動実績報告表'!$S:$S,3)</f>
        <v>0</v>
      </c>
      <c r="N25" s="95">
        <f>_xlfn.COUNTIFS('別紙2-1出動実績報告表'!$O:$O,4,'別紙2-1出動実績報告表'!$P:$P,2,'別紙2-1出動実績報告表'!$Q:$Q,1,'別紙2-1出動実績報告表'!$R:$R,4,'別紙2-1出動実績報告表'!$S:$S,3)</f>
        <v>0</v>
      </c>
      <c r="O25" s="95">
        <f>_xlfn.COUNTIFS('別紙2-1出動実績報告表'!$O:$O,4,'別紙2-1出動実績報告表'!$P:$P,3,'別紙2-1出動実績報告表'!$Q:$Q,1,'別紙2-1出動実績報告表'!$R:$R,4,'別紙2-1出動実績報告表'!$S:$S,3)</f>
        <v>0</v>
      </c>
      <c r="P25" s="95">
        <f>_xlfn.COUNTIFS('別紙2-1出動実績報告表'!$O:$O,4,'別紙2-1出動実績報告表'!$P:$P,4,'別紙2-1出動実績報告表'!$Q:$Q,1,'別紙2-1出動実績報告表'!$R:$R,4,'別紙2-1出動実績報告表'!$S:$S,3)</f>
        <v>0</v>
      </c>
      <c r="Q25" s="95">
        <f>_xlfn.COUNTIFS('別紙2-1出動実績報告表'!$O:$O,5,'別紙2-1出動実績報告表'!$P:$P,1,'別紙2-1出動実績報告表'!$Q:$Q,1,'別紙2-1出動実績報告表'!$R:$R,4,'別紙2-1出動実績報告表'!$S:$S,3)</f>
        <v>0</v>
      </c>
      <c r="R25" s="95">
        <f>_xlfn.COUNTIFS('別紙2-1出動実績報告表'!$O:$O,9,'別紙2-1出動実績報告表'!$P:$P,9,'別紙2-1出動実績報告表'!$Q:$Q,1,'別紙2-1出動実績報告表'!$R:$R,4,'別紙2-1出動実績報告表'!$S:$S,3)</f>
        <v>0</v>
      </c>
      <c r="S25" s="95">
        <f>_xlfn.COUNTIFS('別紙2-1出動実績報告表'!$O:$O,0,'別紙2-1出動実績報告表'!$P:$P,0,'別紙2-1出動実績報告表'!$Q:$Q,1,'別紙2-1出動実績報告表'!$R:$R,4,'別紙2-1出動実績報告表'!$S:$S,3)</f>
        <v>0</v>
      </c>
      <c r="T25" s="95">
        <f t="shared" si="0"/>
        <v>0</v>
      </c>
      <c r="U25" s="96"/>
    </row>
    <row r="26" spans="1:21" ht="15" customHeight="1">
      <c r="A26" s="97" t="s">
        <v>180</v>
      </c>
      <c r="B26" s="79" t="s">
        <v>166</v>
      </c>
      <c r="C26" s="93" t="s">
        <v>181</v>
      </c>
      <c r="D26" s="98" t="s">
        <v>182</v>
      </c>
      <c r="E26" s="95">
        <f>_xlfn.COUNTIFS('別紙2-1出動実績報告表'!$O:$O,1,'別紙2-1出動実績報告表'!$P:$P,1,'別紙2-1出動実績報告表'!$Q:$Q,1,'別紙2-1出動実績報告表'!$R:$R,4,'別紙2-1出動実績報告表'!$S:$S,4)</f>
        <v>0</v>
      </c>
      <c r="F26" s="95">
        <f>_xlfn.COUNTIFS('別紙2-1出動実績報告表'!$O:$O,1,'別紙2-1出動実績報告表'!$P:$P,2,'別紙2-1出動実績報告表'!$Q:$Q,1,'別紙2-1出動実績報告表'!$R:$R,4,'別紙2-1出動実績報告表'!$S:$S,4)</f>
        <v>0</v>
      </c>
      <c r="G26" s="95">
        <f>_xlfn.COUNTIFS('別紙2-1出動実績報告表'!$O:$O,1,'別紙2-1出動実績報告表'!$P:$P,3,'別紙2-1出動実績報告表'!$Q:$Q,1,'別紙2-1出動実績報告表'!$R:$R,4,'別紙2-1出動実績報告表'!$S:$S,4)</f>
        <v>0</v>
      </c>
      <c r="H26" s="95">
        <f>_xlfn.COUNTIFS('別紙2-1出動実績報告表'!$O:$O,2,'別紙2-1出動実績報告表'!$P:$P,1,'別紙2-1出動実績報告表'!$Q:$Q,1,'別紙2-1出動実績報告表'!$R:$R,4,'別紙2-1出動実績報告表'!$S:$S,4)</f>
        <v>0</v>
      </c>
      <c r="I26" s="95">
        <f>_xlfn.COUNTIFS('別紙2-1出動実績報告表'!$O:$O,2,'別紙2-1出動実績報告表'!$P:$P,2,'別紙2-1出動実績報告表'!$Q:$Q,1,'別紙2-1出動実績報告表'!$R:$R,4,'別紙2-1出動実績報告表'!$S:$S,4)</f>
        <v>0</v>
      </c>
      <c r="J26" s="95">
        <f>_xlfn.COUNTIFS('別紙2-1出動実績報告表'!$O:$O,3,'別紙2-1出動実績報告表'!$P:$P,1,'別紙2-1出動実績報告表'!$Q:$Q,1,'別紙2-1出動実績報告表'!$R:$R,4,'別紙2-1出動実績報告表'!$S:$S,4)</f>
        <v>0</v>
      </c>
      <c r="K26" s="95">
        <f>_xlfn.COUNTIFS('別紙2-1出動実績報告表'!$O:$O,3,'別紙2-1出動実績報告表'!$P:$P,2,'別紙2-1出動実績報告表'!$Q:$Q,1,'別紙2-1出動実績報告表'!$R:$R,4,'別紙2-1出動実績報告表'!$S:$S,4)</f>
        <v>0</v>
      </c>
      <c r="L26" s="95">
        <f>_xlfn.COUNTIFS('別紙2-1出動実績報告表'!$O:$O,3,'別紙2-1出動実績報告表'!$P:$P,3,'別紙2-1出動実績報告表'!$Q:$Q,1,'別紙2-1出動実績報告表'!$R:$R,4,'別紙2-1出動実績報告表'!$S:$S,4)</f>
        <v>0</v>
      </c>
      <c r="M26" s="95">
        <f>_xlfn.COUNTIFS('別紙2-1出動実績報告表'!$O:$O,4,'別紙2-1出動実績報告表'!$P:$P,1,'別紙2-1出動実績報告表'!$Q:$Q,1,'別紙2-1出動実績報告表'!$R:$R,4,'別紙2-1出動実績報告表'!$S:$S,4)</f>
        <v>0</v>
      </c>
      <c r="N26" s="95">
        <f>_xlfn.COUNTIFS('別紙2-1出動実績報告表'!$O:$O,4,'別紙2-1出動実績報告表'!$P:$P,2,'別紙2-1出動実績報告表'!$Q:$Q,1,'別紙2-1出動実績報告表'!$R:$R,4,'別紙2-1出動実績報告表'!$S:$S,4)</f>
        <v>0</v>
      </c>
      <c r="O26" s="95">
        <f>_xlfn.COUNTIFS('別紙2-1出動実績報告表'!$O:$O,4,'別紙2-1出動実績報告表'!$P:$P,3,'別紙2-1出動実績報告表'!$Q:$Q,1,'別紙2-1出動実績報告表'!$R:$R,4,'別紙2-1出動実績報告表'!$S:$S,4)</f>
        <v>0</v>
      </c>
      <c r="P26" s="95">
        <f>_xlfn.COUNTIFS('別紙2-1出動実績報告表'!$O:$O,4,'別紙2-1出動実績報告表'!$P:$P,4,'別紙2-1出動実績報告表'!$Q:$Q,1,'別紙2-1出動実績報告表'!$R:$R,4,'別紙2-1出動実績報告表'!$S:$S,4)</f>
        <v>0</v>
      </c>
      <c r="Q26" s="95">
        <f>_xlfn.COUNTIFS('別紙2-1出動実績報告表'!$O:$O,5,'別紙2-1出動実績報告表'!$P:$P,1,'別紙2-1出動実績報告表'!$Q:$Q,1,'別紙2-1出動実績報告表'!$R:$R,4,'別紙2-1出動実績報告表'!$S:$S,4)</f>
        <v>0</v>
      </c>
      <c r="R26" s="95">
        <f>_xlfn.COUNTIFS('別紙2-1出動実績報告表'!$O:$O,9,'別紙2-1出動実績報告表'!$P:$P,9,'別紙2-1出動実績報告表'!$Q:$Q,1,'別紙2-1出動実績報告表'!$R:$R,4,'別紙2-1出動実績報告表'!$S:$S,4)</f>
        <v>0</v>
      </c>
      <c r="S26" s="95">
        <f>_xlfn.COUNTIFS('別紙2-1出動実績報告表'!$O:$O,0,'別紙2-1出動実績報告表'!$P:$P,0,'別紙2-1出動実績報告表'!$Q:$Q,1,'別紙2-1出動実績報告表'!$R:$R,4,'別紙2-1出動実績報告表'!$S:$S,4)</f>
        <v>0</v>
      </c>
      <c r="T26" s="95">
        <f t="shared" si="0"/>
        <v>0</v>
      </c>
      <c r="U26" s="96"/>
    </row>
    <row r="27" spans="1:21" ht="15" customHeight="1">
      <c r="A27" s="97"/>
      <c r="B27" s="79"/>
      <c r="C27" s="100" t="s">
        <v>183</v>
      </c>
      <c r="D27" s="98" t="s">
        <v>184</v>
      </c>
      <c r="E27" s="95">
        <f>_xlfn.COUNTIFS('別紙2-1出動実績報告表'!$O:$O,1,'別紙2-1出動実績報告表'!$P:$P,1,'別紙2-1出動実績報告表'!$Q:$Q,1,'別紙2-1出動実績報告表'!$R:$R,4,'別紙2-1出動実績報告表'!$S:$S,5)</f>
        <v>0</v>
      </c>
      <c r="F27" s="95">
        <f>_xlfn.COUNTIFS('別紙2-1出動実績報告表'!$O:$O,1,'別紙2-1出動実績報告表'!$P:$P,2,'別紙2-1出動実績報告表'!$Q:$Q,1,'別紙2-1出動実績報告表'!$R:$R,4,'別紙2-1出動実績報告表'!$S:$S,5)</f>
        <v>0</v>
      </c>
      <c r="G27" s="95">
        <f>_xlfn.COUNTIFS('別紙2-1出動実績報告表'!$O:$O,1,'別紙2-1出動実績報告表'!$P:$P,3,'別紙2-1出動実績報告表'!$Q:$Q,1,'別紙2-1出動実績報告表'!$R:$R,4,'別紙2-1出動実績報告表'!$S:$S,5)</f>
        <v>0</v>
      </c>
      <c r="H27" s="95">
        <f>_xlfn.COUNTIFS('別紙2-1出動実績報告表'!$O:$O,2,'別紙2-1出動実績報告表'!$P:$P,1,'別紙2-1出動実績報告表'!$Q:$Q,1,'別紙2-1出動実績報告表'!$R:$R,4,'別紙2-1出動実績報告表'!$S:$S,5)</f>
        <v>0</v>
      </c>
      <c r="I27" s="95">
        <f>_xlfn.COUNTIFS('別紙2-1出動実績報告表'!$O:$O,2,'別紙2-1出動実績報告表'!$P:$P,2,'別紙2-1出動実績報告表'!$Q:$Q,1,'別紙2-1出動実績報告表'!$R:$R,4,'別紙2-1出動実績報告表'!$S:$S,5)</f>
        <v>0</v>
      </c>
      <c r="J27" s="95">
        <f>_xlfn.COUNTIFS('別紙2-1出動実績報告表'!$O:$O,3,'別紙2-1出動実績報告表'!$P:$P,1,'別紙2-1出動実績報告表'!$Q:$Q,1,'別紙2-1出動実績報告表'!$R:$R,4,'別紙2-1出動実績報告表'!$S:$S,5)</f>
        <v>0</v>
      </c>
      <c r="K27" s="95">
        <f>_xlfn.COUNTIFS('別紙2-1出動実績報告表'!$O:$O,3,'別紙2-1出動実績報告表'!$P:$P,2,'別紙2-1出動実績報告表'!$Q:$Q,1,'別紙2-1出動実績報告表'!$R:$R,4,'別紙2-1出動実績報告表'!$S:$S,5)</f>
        <v>0</v>
      </c>
      <c r="L27" s="95">
        <f>_xlfn.COUNTIFS('別紙2-1出動実績報告表'!$O:$O,3,'別紙2-1出動実績報告表'!$P:$P,3,'別紙2-1出動実績報告表'!$Q:$Q,1,'別紙2-1出動実績報告表'!$R:$R,4,'別紙2-1出動実績報告表'!$S:$S,5)</f>
        <v>0</v>
      </c>
      <c r="M27" s="95">
        <f>_xlfn.COUNTIFS('別紙2-1出動実績報告表'!$O:$O,4,'別紙2-1出動実績報告表'!$P:$P,1,'別紙2-1出動実績報告表'!$Q:$Q,1,'別紙2-1出動実績報告表'!$R:$R,4,'別紙2-1出動実績報告表'!$S:$S,5)</f>
        <v>0</v>
      </c>
      <c r="N27" s="95">
        <f>_xlfn.COUNTIFS('別紙2-1出動実績報告表'!$O:$O,4,'別紙2-1出動実績報告表'!$P:$P,2,'別紙2-1出動実績報告表'!$Q:$Q,1,'別紙2-1出動実績報告表'!$R:$R,4,'別紙2-1出動実績報告表'!$S:$S,5)</f>
        <v>0</v>
      </c>
      <c r="O27" s="95">
        <f>_xlfn.COUNTIFS('別紙2-1出動実績報告表'!$O:$O,4,'別紙2-1出動実績報告表'!$P:$P,3,'別紙2-1出動実績報告表'!$Q:$Q,1,'別紙2-1出動実績報告表'!$R:$R,4,'別紙2-1出動実績報告表'!$S:$S,5)</f>
        <v>0</v>
      </c>
      <c r="P27" s="95">
        <f>_xlfn.COUNTIFS('別紙2-1出動実績報告表'!$O:$O,4,'別紙2-1出動実績報告表'!$P:$P,4,'別紙2-1出動実績報告表'!$Q:$Q,1,'別紙2-1出動実績報告表'!$R:$R,4,'別紙2-1出動実績報告表'!$S:$S,5)</f>
        <v>0</v>
      </c>
      <c r="Q27" s="95">
        <f>_xlfn.COUNTIFS('別紙2-1出動実績報告表'!$O:$O,5,'別紙2-1出動実績報告表'!$P:$P,1,'別紙2-1出動実績報告表'!$Q:$Q,1,'別紙2-1出動実績報告表'!$R:$R,4,'別紙2-1出動実績報告表'!$S:$S,5)</f>
        <v>0</v>
      </c>
      <c r="R27" s="95">
        <f>_xlfn.COUNTIFS('別紙2-1出動実績報告表'!$O:$O,9,'別紙2-1出動実績報告表'!$P:$P,9,'別紙2-1出動実績報告表'!$Q:$Q,1,'別紙2-1出動実績報告表'!$R:$R,4,'別紙2-1出動実績報告表'!$S:$S,5)</f>
        <v>0</v>
      </c>
      <c r="S27" s="95">
        <f>_xlfn.COUNTIFS('別紙2-1出動実績報告表'!$O:$O,0,'別紙2-1出動実績報告表'!$P:$P,0,'別紙2-1出動実績報告表'!$Q:$Q,1,'別紙2-1出動実績報告表'!$R:$R,4,'別紙2-1出動実績報告表'!$S:$S,5)</f>
        <v>0</v>
      </c>
      <c r="T27" s="95">
        <f t="shared" si="0"/>
        <v>0</v>
      </c>
      <c r="U27" s="96"/>
    </row>
    <row r="28" spans="1:21" ht="15" customHeight="1">
      <c r="A28" s="97" t="s">
        <v>185</v>
      </c>
      <c r="B28" s="79"/>
      <c r="C28" s="101" t="s">
        <v>186</v>
      </c>
      <c r="D28" s="98" t="s">
        <v>162</v>
      </c>
      <c r="E28" s="95">
        <f>_xlfn.COUNTIFS('別紙2-1出動実績報告表'!$O:$O,1,'別紙2-1出動実績報告表'!$P:$P,1,'別紙2-1出動実績報告表'!$Q:$Q,1,'別紙2-1出動実績報告表'!$R:$R,4,'別紙2-1出動実績報告表'!$S:$S,9)</f>
        <v>0</v>
      </c>
      <c r="F28" s="95">
        <f>_xlfn.COUNTIFS('別紙2-1出動実績報告表'!$O:$O,1,'別紙2-1出動実績報告表'!$P:$P,2,'別紙2-1出動実績報告表'!$Q:$Q,1,'別紙2-1出動実績報告表'!$R:$R,4,'別紙2-1出動実績報告表'!$S:$S,9)</f>
        <v>0</v>
      </c>
      <c r="G28" s="95">
        <f>_xlfn.COUNTIFS('別紙2-1出動実績報告表'!$O:$O,1,'別紙2-1出動実績報告表'!$P:$P,3,'別紙2-1出動実績報告表'!$Q:$Q,1,'別紙2-1出動実績報告表'!$R:$R,4,'別紙2-1出動実績報告表'!$S:$S,9)</f>
        <v>0</v>
      </c>
      <c r="H28" s="95">
        <f>_xlfn.COUNTIFS('別紙2-1出動実績報告表'!$O:$O,2,'別紙2-1出動実績報告表'!$P:$P,1,'別紙2-1出動実績報告表'!$Q:$Q,1,'別紙2-1出動実績報告表'!$R:$R,4,'別紙2-1出動実績報告表'!$S:$S,9)</f>
        <v>0</v>
      </c>
      <c r="I28" s="95">
        <f>_xlfn.COUNTIFS('別紙2-1出動実績報告表'!$O:$O,2,'別紙2-1出動実績報告表'!$P:$P,2,'別紙2-1出動実績報告表'!$Q:$Q,1,'別紙2-1出動実績報告表'!$R:$R,4,'別紙2-1出動実績報告表'!$S:$S,9)</f>
        <v>0</v>
      </c>
      <c r="J28" s="95">
        <f>_xlfn.COUNTIFS('別紙2-1出動実績報告表'!$O:$O,3,'別紙2-1出動実績報告表'!$P:$P,1,'別紙2-1出動実績報告表'!$Q:$Q,1,'別紙2-1出動実績報告表'!$R:$R,4,'別紙2-1出動実績報告表'!$S:$S,9)</f>
        <v>0</v>
      </c>
      <c r="K28" s="95">
        <f>_xlfn.COUNTIFS('別紙2-1出動実績報告表'!$O:$O,3,'別紙2-1出動実績報告表'!$P:$P,2,'別紙2-1出動実績報告表'!$Q:$Q,1,'別紙2-1出動実績報告表'!$R:$R,4,'別紙2-1出動実績報告表'!$S:$S,9)</f>
        <v>0</v>
      </c>
      <c r="L28" s="95">
        <f>_xlfn.COUNTIFS('別紙2-1出動実績報告表'!$O:$O,3,'別紙2-1出動実績報告表'!$P:$P,3,'別紙2-1出動実績報告表'!$Q:$Q,1,'別紙2-1出動実績報告表'!$R:$R,4,'別紙2-1出動実績報告表'!$S:$S,9)</f>
        <v>0</v>
      </c>
      <c r="M28" s="95">
        <f>_xlfn.COUNTIFS('別紙2-1出動実績報告表'!$O:$O,4,'別紙2-1出動実績報告表'!$P:$P,1,'別紙2-1出動実績報告表'!$Q:$Q,1,'別紙2-1出動実績報告表'!$R:$R,4,'別紙2-1出動実績報告表'!$S:$S,9)</f>
        <v>0</v>
      </c>
      <c r="N28" s="95">
        <f>_xlfn.COUNTIFS('別紙2-1出動実績報告表'!$O:$O,4,'別紙2-1出動実績報告表'!$P:$P,2,'別紙2-1出動実績報告表'!$Q:$Q,1,'別紙2-1出動実績報告表'!$R:$R,4,'別紙2-1出動実績報告表'!$S:$S,9)</f>
        <v>0</v>
      </c>
      <c r="O28" s="95">
        <f>_xlfn.COUNTIFS('別紙2-1出動実績報告表'!$O:$O,4,'別紙2-1出動実績報告表'!$P:$P,3,'別紙2-1出動実績報告表'!$Q:$Q,1,'別紙2-1出動実績報告表'!$R:$R,4,'別紙2-1出動実績報告表'!$S:$S,9)</f>
        <v>0</v>
      </c>
      <c r="P28" s="95">
        <f>_xlfn.COUNTIFS('別紙2-1出動実績報告表'!$O:$O,4,'別紙2-1出動実績報告表'!$P:$P,4,'別紙2-1出動実績報告表'!$Q:$Q,1,'別紙2-1出動実績報告表'!$R:$R,4,'別紙2-1出動実績報告表'!$S:$S,9)</f>
        <v>0</v>
      </c>
      <c r="Q28" s="95">
        <f>_xlfn.COUNTIFS('別紙2-1出動実績報告表'!$O:$O,5,'別紙2-1出動実績報告表'!$P:$P,1,'別紙2-1出動実績報告表'!$Q:$Q,1,'別紙2-1出動実績報告表'!$R:$R,4,'別紙2-1出動実績報告表'!$S:$S,9)</f>
        <v>0</v>
      </c>
      <c r="R28" s="95">
        <f>_xlfn.COUNTIFS('別紙2-1出動実績報告表'!$O:$O,9,'別紙2-1出動実績報告表'!$P:$P,9,'別紙2-1出動実績報告表'!$Q:$Q,1,'別紙2-1出動実績報告表'!$R:$R,4,'別紙2-1出動実績報告表'!$S:$S,9)</f>
        <v>0</v>
      </c>
      <c r="S28" s="95">
        <f>_xlfn.COUNTIFS('別紙2-1出動実績報告表'!$O:$O,0,'別紙2-1出動実績報告表'!$P:$P,0,'別紙2-1出動実績報告表'!$Q:$Q,1,'別紙2-1出動実績報告表'!$R:$R,4,'別紙2-1出動実績報告表'!$S:$S,9)</f>
        <v>0</v>
      </c>
      <c r="T28" s="95">
        <f t="shared" si="0"/>
        <v>0</v>
      </c>
      <c r="U28" s="96"/>
    </row>
    <row r="29" spans="1:21" ht="15" customHeight="1">
      <c r="A29" s="97"/>
      <c r="B29" s="90"/>
      <c r="C29" s="102" t="s">
        <v>187</v>
      </c>
      <c r="D29" s="98"/>
      <c r="E29" s="95">
        <f>_xlfn.COUNTIFS('別紙2-1出動実績報告表'!$O:$O,1,'別紙2-1出動実績報告表'!$P:$P,1,'別紙2-1出動実績報告表'!$Q:$Q,1,'別紙2-1出動実績報告表'!$R:$R,9,'別紙2-1出動実績報告表'!$S:$S,9)</f>
        <v>0</v>
      </c>
      <c r="F29" s="95">
        <f>_xlfn.COUNTIFS('別紙2-1出動実績報告表'!$O:$O,1,'別紙2-1出動実績報告表'!$P:$P,2,'別紙2-1出動実績報告表'!$Q:$Q,1,'別紙2-1出動実績報告表'!$R:$R,9,'別紙2-1出動実績報告表'!$S:$S,9)</f>
        <v>0</v>
      </c>
      <c r="G29" s="95">
        <f>_xlfn.COUNTIFS('別紙2-1出動実績報告表'!$O:$O,1,'別紙2-1出動実績報告表'!$P:$P,3,'別紙2-1出動実績報告表'!$Q:$Q,1,'別紙2-1出動実績報告表'!$R:$R,9,'別紙2-1出動実績報告表'!$S:$S,9)</f>
        <v>0</v>
      </c>
      <c r="H29" s="95">
        <f>_xlfn.COUNTIFS('別紙2-1出動実績報告表'!$O:$O,2,'別紙2-1出動実績報告表'!$P:$P,1,'別紙2-1出動実績報告表'!$Q:$Q,1,'別紙2-1出動実績報告表'!$R:$R,9,'別紙2-1出動実績報告表'!$S:$S,9)</f>
        <v>0</v>
      </c>
      <c r="I29" s="95">
        <f>_xlfn.COUNTIFS('別紙2-1出動実績報告表'!$O:$O,2,'別紙2-1出動実績報告表'!$P:$P,2,'別紙2-1出動実績報告表'!$Q:$Q,1,'別紙2-1出動実績報告表'!$R:$R,9,'別紙2-1出動実績報告表'!$S:$S,9)</f>
        <v>0</v>
      </c>
      <c r="J29" s="95">
        <f>_xlfn.COUNTIFS('別紙2-1出動実績報告表'!$O:$O,3,'別紙2-1出動実績報告表'!$P:$P,1,'別紙2-1出動実績報告表'!$Q:$Q,1,'別紙2-1出動実績報告表'!$R:$R,9,'別紙2-1出動実績報告表'!$S:$S,9)</f>
        <v>0</v>
      </c>
      <c r="K29" s="95">
        <f>_xlfn.COUNTIFS('別紙2-1出動実績報告表'!$O:$O,3,'別紙2-1出動実績報告表'!$P:$P,2,'別紙2-1出動実績報告表'!$Q:$Q,1,'別紙2-1出動実績報告表'!$R:$R,9,'別紙2-1出動実績報告表'!$S:$S,9)</f>
        <v>0</v>
      </c>
      <c r="L29" s="95">
        <f>_xlfn.COUNTIFS('別紙2-1出動実績報告表'!$O:$O,3,'別紙2-1出動実績報告表'!$P:$P,3,'別紙2-1出動実績報告表'!$Q:$Q,1,'別紙2-1出動実績報告表'!$R:$R,9,'別紙2-1出動実績報告表'!$S:$S,9)</f>
        <v>0</v>
      </c>
      <c r="M29" s="95">
        <f>_xlfn.COUNTIFS('別紙2-1出動実績報告表'!$O:$O,4,'別紙2-1出動実績報告表'!$P:$P,1,'別紙2-1出動実績報告表'!$Q:$Q,1,'別紙2-1出動実績報告表'!$R:$R,9,'別紙2-1出動実績報告表'!$S:$S,9)</f>
        <v>0</v>
      </c>
      <c r="N29" s="95">
        <f>_xlfn.COUNTIFS('別紙2-1出動実績報告表'!$O:$O,4,'別紙2-1出動実績報告表'!$P:$P,2,'別紙2-1出動実績報告表'!$Q:$Q,1,'別紙2-1出動実績報告表'!$R:$R,9,'別紙2-1出動実績報告表'!$S:$S,9)</f>
        <v>0</v>
      </c>
      <c r="O29" s="95">
        <f>_xlfn.COUNTIFS('別紙2-1出動実績報告表'!$O:$O,4,'別紙2-1出動実績報告表'!$P:$P,3,'別紙2-1出動実績報告表'!$Q:$Q,1,'別紙2-1出動実績報告表'!$R:$R,9,'別紙2-1出動実績報告表'!$S:$S,9)</f>
        <v>0</v>
      </c>
      <c r="P29" s="95">
        <f>_xlfn.COUNTIFS('別紙2-1出動実績報告表'!$O:$O,4,'別紙2-1出動実績報告表'!$P:$P,4,'別紙2-1出動実績報告表'!$Q:$Q,1,'別紙2-1出動実績報告表'!$R:$R,9,'別紙2-1出動実績報告表'!$S:$S,9)</f>
        <v>0</v>
      </c>
      <c r="Q29" s="95">
        <f>_xlfn.COUNTIFS('別紙2-1出動実績報告表'!$O:$O,5,'別紙2-1出動実績報告表'!$P:$P,1,'別紙2-1出動実績報告表'!$Q:$Q,1,'別紙2-1出動実績報告表'!$R:$R,9,'別紙2-1出動実績報告表'!$S:$S,9)</f>
        <v>0</v>
      </c>
      <c r="R29" s="95">
        <f>_xlfn.COUNTIFS('別紙2-1出動実績報告表'!$O:$O,9,'別紙2-1出動実績報告表'!$P:$P,9,'別紙2-1出動実績報告表'!$Q:$Q,1,'別紙2-1出動実績報告表'!$R:$R,9,'別紙2-1出動実績報告表'!$S:$S,9)</f>
        <v>0</v>
      </c>
      <c r="S29" s="95">
        <f>_xlfn.COUNTIFS('別紙2-1出動実績報告表'!$O:$O,0,'別紙2-1出動実績報告表'!$P:$P,0,'別紙2-1出動実績報告表'!$Q:$Q,1,'別紙2-1出動実績報告表'!$R:$R,9,'別紙2-1出動実績報告表'!$S:$S,9)</f>
        <v>0</v>
      </c>
      <c r="T29" s="95">
        <f t="shared" si="0"/>
        <v>0</v>
      </c>
      <c r="U29" s="96"/>
    </row>
    <row r="30" spans="1:21" ht="15" customHeight="1">
      <c r="A30" s="97"/>
      <c r="B30" s="78"/>
      <c r="C30" s="99"/>
      <c r="D30" s="98" t="s">
        <v>188</v>
      </c>
      <c r="E30" s="95">
        <f>_xlfn.COUNTIFS('別紙2-1出動実績報告表'!$O:$O,1,'別紙2-1出動実績報告表'!$P:$P,1,'別紙2-1出動実績報告表'!$Q:$Q,2,'別紙2-1出動実績報告表'!$R:$R,1,'別紙2-1出動実績報告表'!$S:$S,1)</f>
        <v>0</v>
      </c>
      <c r="F30" s="95">
        <f>_xlfn.COUNTIFS('別紙2-1出動実績報告表'!$O:$O,1,'別紙2-1出動実績報告表'!$P:$P,2,'別紙2-1出動実績報告表'!$Q:$Q,2,'別紙2-1出動実績報告表'!$R:$R,1,'別紙2-1出動実績報告表'!$S:$S,1)</f>
        <v>0</v>
      </c>
      <c r="G30" s="95">
        <f>_xlfn.COUNTIFS('別紙2-1出動実績報告表'!$O:$O,1,'別紙2-1出動実績報告表'!$P:$P,3,'別紙2-1出動実績報告表'!$Q:$Q,2,'別紙2-1出動実績報告表'!$R:$R,1,'別紙2-1出動実績報告表'!$S:$S,1)</f>
        <v>0</v>
      </c>
      <c r="H30" s="95">
        <f>_xlfn.COUNTIFS('別紙2-1出動実績報告表'!$O:$O,2,'別紙2-1出動実績報告表'!$P:$P,1,'別紙2-1出動実績報告表'!$Q:$Q,2,'別紙2-1出動実績報告表'!$R:$R,1,'別紙2-1出動実績報告表'!$S:$S,1)</f>
        <v>0</v>
      </c>
      <c r="I30" s="95">
        <f>_xlfn.COUNTIFS('別紙2-1出動実績報告表'!$O:$O,2,'別紙2-1出動実績報告表'!$P:$P,2,'別紙2-1出動実績報告表'!$Q:$Q,2,'別紙2-1出動実績報告表'!$R:$R,1,'別紙2-1出動実績報告表'!$S:$S,1)</f>
        <v>0</v>
      </c>
      <c r="J30" s="95">
        <f>_xlfn.COUNTIFS('別紙2-1出動実績報告表'!$O:$O,3,'別紙2-1出動実績報告表'!$P:$P,1,'別紙2-1出動実績報告表'!$Q:$Q,2,'別紙2-1出動実績報告表'!$R:$R,1,'別紙2-1出動実績報告表'!$S:$S,1)</f>
        <v>0</v>
      </c>
      <c r="K30" s="95">
        <f>_xlfn.COUNTIFS('別紙2-1出動実績報告表'!$O:$O,3,'別紙2-1出動実績報告表'!$P:$P,2,'別紙2-1出動実績報告表'!$Q:$Q,2,'別紙2-1出動実績報告表'!$R:$R,1,'別紙2-1出動実績報告表'!$S:$S,1)</f>
        <v>0</v>
      </c>
      <c r="L30" s="95">
        <f>_xlfn.COUNTIFS('別紙2-1出動実績報告表'!$O:$O,3,'別紙2-1出動実績報告表'!$P:$P,3,'別紙2-1出動実績報告表'!$Q:$Q,2,'別紙2-1出動実績報告表'!$R:$R,1,'別紙2-1出動実績報告表'!$S:$S,1)</f>
        <v>0</v>
      </c>
      <c r="M30" s="95">
        <f>_xlfn.COUNTIFS('別紙2-1出動実績報告表'!$O:$O,4,'別紙2-1出動実績報告表'!$P:$P,1,'別紙2-1出動実績報告表'!$Q:$Q,2,'別紙2-1出動実績報告表'!$R:$R,1,'別紙2-1出動実績報告表'!$S:$S,1)</f>
        <v>0</v>
      </c>
      <c r="N30" s="95">
        <f>_xlfn.COUNTIFS('別紙2-1出動実績報告表'!$O:$O,4,'別紙2-1出動実績報告表'!$P:$P,2,'別紙2-1出動実績報告表'!$Q:$Q,2,'別紙2-1出動実績報告表'!$R:$R,1,'別紙2-1出動実績報告表'!$S:$S,1)</f>
        <v>0</v>
      </c>
      <c r="O30" s="95">
        <f>_xlfn.COUNTIFS('別紙2-1出動実績報告表'!$O:$O,4,'別紙2-1出動実績報告表'!$P:$P,3,'別紙2-1出動実績報告表'!$Q:$Q,2,'別紙2-1出動実績報告表'!$R:$R,1,'別紙2-1出動実績報告表'!$S:$S,1)</f>
        <v>0</v>
      </c>
      <c r="P30" s="95">
        <f>_xlfn.COUNTIFS('別紙2-1出動実績報告表'!$O:$O,4,'別紙2-1出動実績報告表'!$P:$P,4,'別紙2-1出動実績報告表'!$Q:$Q,2,'別紙2-1出動実績報告表'!$R:$R,1,'別紙2-1出動実績報告表'!$S:$S,1)</f>
        <v>0</v>
      </c>
      <c r="Q30" s="95">
        <f>_xlfn.COUNTIFS('別紙2-1出動実績報告表'!$O:$O,5,'別紙2-1出動実績報告表'!$P:$P,1,'別紙2-1出動実績報告表'!$Q:$Q,2,'別紙2-1出動実績報告表'!$R:$R,1,'別紙2-1出動実績報告表'!$S:$S,1)</f>
        <v>0</v>
      </c>
      <c r="R30" s="95">
        <f>_xlfn.COUNTIFS('別紙2-1出動実績報告表'!$O:$O,9,'別紙2-1出動実績報告表'!$P:$P,9,'別紙2-1出動実績報告表'!$Q:$Q,2,'別紙2-1出動実績報告表'!$R:$R,1,'別紙2-1出動実績報告表'!$S:$S,1)</f>
        <v>0</v>
      </c>
      <c r="S30" s="95">
        <f>_xlfn.COUNTIFS('別紙2-1出動実績報告表'!$O:$O,0,'別紙2-1出動実績報告表'!$P:$P,0,'別紙2-1出動実績報告表'!$Q:$Q,2,'別紙2-1出動実績報告表'!$R:$R,1,'別紙2-1出動実績報告表'!$S:$S,1)</f>
        <v>0</v>
      </c>
      <c r="T30" s="95">
        <f t="shared" si="0"/>
        <v>0</v>
      </c>
      <c r="U30" s="96"/>
    </row>
    <row r="31" spans="1:21" ht="15" customHeight="1">
      <c r="A31" s="97"/>
      <c r="B31" s="79"/>
      <c r="C31" s="93" t="s">
        <v>189</v>
      </c>
      <c r="D31" s="98" t="s">
        <v>190</v>
      </c>
      <c r="E31" s="95">
        <f>_xlfn.COUNTIFS('別紙2-1出動実績報告表'!$O:$O,1,'別紙2-1出動実績報告表'!$P:$P,1,'別紙2-1出動実績報告表'!$Q:$Q,2,'別紙2-1出動実績報告表'!$R:$R,1,'別紙2-1出動実績報告表'!$S:$S,2)</f>
        <v>0</v>
      </c>
      <c r="F31" s="95">
        <f>_xlfn.COUNTIFS('別紙2-1出動実績報告表'!$O:$O,1,'別紙2-1出動実績報告表'!$P:$P,2,'別紙2-1出動実績報告表'!$Q:$Q,2,'別紙2-1出動実績報告表'!$R:$R,1,'別紙2-1出動実績報告表'!$S:$S,2)</f>
        <v>0</v>
      </c>
      <c r="G31" s="95">
        <f>_xlfn.COUNTIFS('別紙2-1出動実績報告表'!$O:$O,1,'別紙2-1出動実績報告表'!$P:$P,3,'別紙2-1出動実績報告表'!$Q:$Q,2,'別紙2-1出動実績報告表'!$R:$R,1,'別紙2-1出動実績報告表'!$S:$S,2)</f>
        <v>0</v>
      </c>
      <c r="H31" s="95">
        <f>_xlfn.COUNTIFS('別紙2-1出動実績報告表'!$O:$O,2,'別紙2-1出動実績報告表'!$P:$P,1,'別紙2-1出動実績報告表'!$Q:$Q,2,'別紙2-1出動実績報告表'!$R:$R,1,'別紙2-1出動実績報告表'!$S:$S,2)</f>
        <v>0</v>
      </c>
      <c r="I31" s="95">
        <f>_xlfn.COUNTIFS('別紙2-1出動実績報告表'!$O:$O,2,'別紙2-1出動実績報告表'!$P:$P,2,'別紙2-1出動実績報告表'!$Q:$Q,2,'別紙2-1出動実績報告表'!$R:$R,1,'別紙2-1出動実績報告表'!$S:$S,2)</f>
        <v>0</v>
      </c>
      <c r="J31" s="95">
        <f>_xlfn.COUNTIFS('別紙2-1出動実績報告表'!$O:$O,3,'別紙2-1出動実績報告表'!$P:$P,1,'別紙2-1出動実績報告表'!$Q:$Q,2,'別紙2-1出動実績報告表'!$R:$R,1,'別紙2-1出動実績報告表'!$S:$S,2)</f>
        <v>0</v>
      </c>
      <c r="K31" s="95">
        <f>_xlfn.COUNTIFS('別紙2-1出動実績報告表'!$O:$O,3,'別紙2-1出動実績報告表'!$P:$P,2,'別紙2-1出動実績報告表'!$Q:$Q,2,'別紙2-1出動実績報告表'!$R:$R,1,'別紙2-1出動実績報告表'!$S:$S,2)</f>
        <v>0</v>
      </c>
      <c r="L31" s="95">
        <f>_xlfn.COUNTIFS('別紙2-1出動実績報告表'!$O:$O,3,'別紙2-1出動実績報告表'!$P:$P,3,'別紙2-1出動実績報告表'!$Q:$Q,2,'別紙2-1出動実績報告表'!$R:$R,1,'別紙2-1出動実績報告表'!$S:$S,2)</f>
        <v>0</v>
      </c>
      <c r="M31" s="95">
        <f>_xlfn.COUNTIFS('別紙2-1出動実績報告表'!$O:$O,4,'別紙2-1出動実績報告表'!$P:$P,1,'別紙2-1出動実績報告表'!$Q:$Q,2,'別紙2-1出動実績報告表'!$R:$R,1,'別紙2-1出動実績報告表'!$S:$S,2)</f>
        <v>0</v>
      </c>
      <c r="N31" s="95">
        <f>_xlfn.COUNTIFS('別紙2-1出動実績報告表'!$O:$O,4,'別紙2-1出動実績報告表'!$P:$P,2,'別紙2-1出動実績報告表'!$Q:$Q,2,'別紙2-1出動実績報告表'!$R:$R,1,'別紙2-1出動実績報告表'!$S:$S,2)</f>
        <v>0</v>
      </c>
      <c r="O31" s="95">
        <f>_xlfn.COUNTIFS('別紙2-1出動実績報告表'!$O:$O,4,'別紙2-1出動実績報告表'!$P:$P,3,'別紙2-1出動実績報告表'!$Q:$Q,2,'別紙2-1出動実績報告表'!$R:$R,1,'別紙2-1出動実績報告表'!$S:$S,2)</f>
        <v>0</v>
      </c>
      <c r="P31" s="95">
        <f>_xlfn.COUNTIFS('別紙2-1出動実績報告表'!$O:$O,4,'別紙2-1出動実績報告表'!$P:$P,4,'別紙2-1出動実績報告表'!$Q:$Q,2,'別紙2-1出動実績報告表'!$R:$R,1,'別紙2-1出動実績報告表'!$S:$S,2)</f>
        <v>0</v>
      </c>
      <c r="Q31" s="95">
        <f>_xlfn.COUNTIFS('別紙2-1出動実績報告表'!$O:$O,5,'別紙2-1出動実績報告表'!$P:$P,1,'別紙2-1出動実績報告表'!$Q:$Q,2,'別紙2-1出動実績報告表'!$R:$R,1,'別紙2-1出動実績報告表'!$S:$S,2)</f>
        <v>0</v>
      </c>
      <c r="R31" s="95">
        <f>_xlfn.COUNTIFS('別紙2-1出動実績報告表'!$O:$O,9,'別紙2-1出動実績報告表'!$P:$P,9,'別紙2-1出動実績報告表'!$Q:$Q,2,'別紙2-1出動実績報告表'!$R:$R,1,'別紙2-1出動実績報告表'!$S:$S,2)</f>
        <v>0</v>
      </c>
      <c r="S31" s="95">
        <f>_xlfn.COUNTIFS('別紙2-1出動実績報告表'!$O:$O,0,'別紙2-1出動実績報告表'!$P:$P,0,'別紙2-1出動実績報告表'!$Q:$Q,2,'別紙2-1出動実績報告表'!$R:$R,1,'別紙2-1出動実績報告表'!$S:$S,2)</f>
        <v>0</v>
      </c>
      <c r="T31" s="95">
        <f t="shared" si="0"/>
        <v>0</v>
      </c>
      <c r="U31" s="96"/>
    </row>
    <row r="32" spans="1:21" ht="15" customHeight="1">
      <c r="A32" s="97"/>
      <c r="B32" s="79" t="s">
        <v>191</v>
      </c>
      <c r="C32" s="93" t="s">
        <v>192</v>
      </c>
      <c r="D32" s="98" t="s">
        <v>193</v>
      </c>
      <c r="E32" s="95">
        <f>_xlfn.COUNTIFS('別紙2-1出動実績報告表'!$O:$O,1,'別紙2-1出動実績報告表'!$P:$P,1,'別紙2-1出動実績報告表'!$Q:$Q,2,'別紙2-1出動実績報告表'!$R:$R,1,'別紙2-1出動実績報告表'!$S:$S,3)</f>
        <v>0</v>
      </c>
      <c r="F32" s="95">
        <f>_xlfn.COUNTIFS('別紙2-1出動実績報告表'!$O:$O,1,'別紙2-1出動実績報告表'!$P:$P,2,'別紙2-1出動実績報告表'!$Q:$Q,2,'別紙2-1出動実績報告表'!$R:$R,1,'別紙2-1出動実績報告表'!$S:$S,3)</f>
        <v>0</v>
      </c>
      <c r="G32" s="95">
        <f>_xlfn.COUNTIFS('別紙2-1出動実績報告表'!$O:$O,1,'別紙2-1出動実績報告表'!$P:$P,3,'別紙2-1出動実績報告表'!$Q:$Q,2,'別紙2-1出動実績報告表'!$R:$R,1,'別紙2-1出動実績報告表'!$S:$S,3)</f>
        <v>0</v>
      </c>
      <c r="H32" s="95">
        <f>_xlfn.COUNTIFS('別紙2-1出動実績報告表'!$O:$O,2,'別紙2-1出動実績報告表'!$P:$P,1,'別紙2-1出動実績報告表'!$Q:$Q,2,'別紙2-1出動実績報告表'!$R:$R,1,'別紙2-1出動実績報告表'!$S:$S,3)</f>
        <v>0</v>
      </c>
      <c r="I32" s="95">
        <f>_xlfn.COUNTIFS('別紙2-1出動実績報告表'!$O:$O,2,'別紙2-1出動実績報告表'!$P:$P,2,'別紙2-1出動実績報告表'!$Q:$Q,2,'別紙2-1出動実績報告表'!$R:$R,1,'別紙2-1出動実績報告表'!$S:$S,3)</f>
        <v>0</v>
      </c>
      <c r="J32" s="95">
        <f>_xlfn.COUNTIFS('別紙2-1出動実績報告表'!$O:$O,3,'別紙2-1出動実績報告表'!$P:$P,1,'別紙2-1出動実績報告表'!$Q:$Q,2,'別紙2-1出動実績報告表'!$R:$R,1,'別紙2-1出動実績報告表'!$S:$S,3)</f>
        <v>0</v>
      </c>
      <c r="K32" s="95">
        <f>_xlfn.COUNTIFS('別紙2-1出動実績報告表'!$O:$O,3,'別紙2-1出動実績報告表'!$P:$P,2,'別紙2-1出動実績報告表'!$Q:$Q,2,'別紙2-1出動実績報告表'!$R:$R,1,'別紙2-1出動実績報告表'!$S:$S,3)</f>
        <v>0</v>
      </c>
      <c r="L32" s="95">
        <f>_xlfn.COUNTIFS('別紙2-1出動実績報告表'!$O:$O,3,'別紙2-1出動実績報告表'!$P:$P,3,'別紙2-1出動実績報告表'!$Q:$Q,2,'別紙2-1出動実績報告表'!$R:$R,1,'別紙2-1出動実績報告表'!$S:$S,3)</f>
        <v>0</v>
      </c>
      <c r="M32" s="95">
        <f>_xlfn.COUNTIFS('別紙2-1出動実績報告表'!$O:$O,4,'別紙2-1出動実績報告表'!$P:$P,1,'別紙2-1出動実績報告表'!$Q:$Q,2,'別紙2-1出動実績報告表'!$R:$R,1,'別紙2-1出動実績報告表'!$S:$S,3)</f>
        <v>0</v>
      </c>
      <c r="N32" s="95">
        <f>_xlfn.COUNTIFS('別紙2-1出動実績報告表'!$O:$O,4,'別紙2-1出動実績報告表'!$P:$P,2,'別紙2-1出動実績報告表'!$Q:$Q,2,'別紙2-1出動実績報告表'!$R:$R,1,'別紙2-1出動実績報告表'!$S:$S,3)</f>
        <v>0</v>
      </c>
      <c r="O32" s="95">
        <f>_xlfn.COUNTIFS('別紙2-1出動実績報告表'!$O:$O,4,'別紙2-1出動実績報告表'!$P:$P,3,'別紙2-1出動実績報告表'!$Q:$Q,2,'別紙2-1出動実績報告表'!$R:$R,1,'別紙2-1出動実績報告表'!$S:$S,3)</f>
        <v>0</v>
      </c>
      <c r="P32" s="95">
        <f>_xlfn.COUNTIFS('別紙2-1出動実績報告表'!$O:$O,4,'別紙2-1出動実績報告表'!$P:$P,4,'別紙2-1出動実績報告表'!$Q:$Q,2,'別紙2-1出動実績報告表'!$R:$R,1,'別紙2-1出動実績報告表'!$S:$S,3)</f>
        <v>0</v>
      </c>
      <c r="Q32" s="95">
        <f>_xlfn.COUNTIFS('別紙2-1出動実績報告表'!$O:$O,5,'別紙2-1出動実績報告表'!$P:$P,1,'別紙2-1出動実績報告表'!$Q:$Q,2,'別紙2-1出動実績報告表'!$R:$R,1,'別紙2-1出動実績報告表'!$S:$S,3)</f>
        <v>0</v>
      </c>
      <c r="R32" s="95">
        <f>_xlfn.COUNTIFS('別紙2-1出動実績報告表'!$O:$O,9,'別紙2-1出動実績報告表'!$P:$P,9,'別紙2-1出動実績報告表'!$Q:$Q,2,'別紙2-1出動実績報告表'!$R:$R,1,'別紙2-1出動実績報告表'!$S:$S,3)</f>
        <v>0</v>
      </c>
      <c r="S32" s="95">
        <f>_xlfn.COUNTIFS('別紙2-1出動実績報告表'!$O:$O,0,'別紙2-1出動実績報告表'!$P:$P,0,'別紙2-1出動実績報告表'!$Q:$Q,2,'別紙2-1出動実績報告表'!$R:$R,1,'別紙2-1出動実績報告表'!$S:$S,3)</f>
        <v>0</v>
      </c>
      <c r="T32" s="95">
        <f t="shared" si="0"/>
        <v>0</v>
      </c>
      <c r="U32" s="96"/>
    </row>
    <row r="33" spans="1:21" ht="15" customHeight="1">
      <c r="A33" s="97"/>
      <c r="B33" s="79" t="s">
        <v>194</v>
      </c>
      <c r="C33" s="93" t="s">
        <v>157</v>
      </c>
      <c r="D33" s="98" t="s">
        <v>195</v>
      </c>
      <c r="E33" s="95">
        <f>_xlfn.COUNTIFS('別紙2-1出動実績報告表'!$O:$O,1,'別紙2-1出動実績報告表'!$P:$P,1,'別紙2-1出動実績報告表'!$Q:$Q,2,'別紙2-1出動実績報告表'!$R:$R,1,'別紙2-1出動実績報告表'!$S:$S,4)</f>
        <v>0</v>
      </c>
      <c r="F33" s="95">
        <f>_xlfn.COUNTIFS('別紙2-1出動実績報告表'!$O:$O,1,'別紙2-1出動実績報告表'!$P:$P,2,'別紙2-1出動実績報告表'!$Q:$Q,2,'別紙2-1出動実績報告表'!$R:$R,1,'別紙2-1出動実績報告表'!$S:$S,4)</f>
        <v>0</v>
      </c>
      <c r="G33" s="95">
        <f>_xlfn.COUNTIFS('別紙2-1出動実績報告表'!$O:$O,1,'別紙2-1出動実績報告表'!$P:$P,3,'別紙2-1出動実績報告表'!$Q:$Q,2,'別紙2-1出動実績報告表'!$R:$R,1,'別紙2-1出動実績報告表'!$S:$S,4)</f>
        <v>0</v>
      </c>
      <c r="H33" s="95">
        <f>_xlfn.COUNTIFS('別紙2-1出動実績報告表'!$O:$O,2,'別紙2-1出動実績報告表'!$P:$P,1,'別紙2-1出動実績報告表'!$Q:$Q,2,'別紙2-1出動実績報告表'!$R:$R,1,'別紙2-1出動実績報告表'!$S:$S,4)</f>
        <v>0</v>
      </c>
      <c r="I33" s="95">
        <f>_xlfn.COUNTIFS('別紙2-1出動実績報告表'!$O:$O,2,'別紙2-1出動実績報告表'!$P:$P,2,'別紙2-1出動実績報告表'!$Q:$Q,2,'別紙2-1出動実績報告表'!$R:$R,1,'別紙2-1出動実績報告表'!$S:$S,4)</f>
        <v>0</v>
      </c>
      <c r="J33" s="95">
        <f>_xlfn.COUNTIFS('別紙2-1出動実績報告表'!$O:$O,3,'別紙2-1出動実績報告表'!$P:$P,1,'別紙2-1出動実績報告表'!$Q:$Q,2,'別紙2-1出動実績報告表'!$R:$R,1,'別紙2-1出動実績報告表'!$S:$S,4)</f>
        <v>0</v>
      </c>
      <c r="K33" s="95">
        <f>_xlfn.COUNTIFS('別紙2-1出動実績報告表'!$O:$O,3,'別紙2-1出動実績報告表'!$P:$P,2,'別紙2-1出動実績報告表'!$Q:$Q,2,'別紙2-1出動実績報告表'!$R:$R,1,'別紙2-1出動実績報告表'!$S:$S,4)</f>
        <v>0</v>
      </c>
      <c r="L33" s="95">
        <f>_xlfn.COUNTIFS('別紙2-1出動実績報告表'!$O:$O,3,'別紙2-1出動実績報告表'!$P:$P,3,'別紙2-1出動実績報告表'!$Q:$Q,2,'別紙2-1出動実績報告表'!$R:$R,1,'別紙2-1出動実績報告表'!$S:$S,4)</f>
        <v>0</v>
      </c>
      <c r="M33" s="95">
        <f>_xlfn.COUNTIFS('別紙2-1出動実績報告表'!$O:$O,4,'別紙2-1出動実績報告表'!$P:$P,1,'別紙2-1出動実績報告表'!$Q:$Q,2,'別紙2-1出動実績報告表'!$R:$R,1,'別紙2-1出動実績報告表'!$S:$S,4)</f>
        <v>0</v>
      </c>
      <c r="N33" s="95">
        <f>_xlfn.COUNTIFS('別紙2-1出動実績報告表'!$O:$O,4,'別紙2-1出動実績報告表'!$P:$P,2,'別紙2-1出動実績報告表'!$Q:$Q,2,'別紙2-1出動実績報告表'!$R:$R,1,'別紙2-1出動実績報告表'!$S:$S,4)</f>
        <v>0</v>
      </c>
      <c r="O33" s="95">
        <f>_xlfn.COUNTIFS('別紙2-1出動実績報告表'!$O:$O,4,'別紙2-1出動実績報告表'!$P:$P,3,'別紙2-1出動実績報告表'!$Q:$Q,2,'別紙2-1出動実績報告表'!$R:$R,1,'別紙2-1出動実績報告表'!$S:$S,4)</f>
        <v>0</v>
      </c>
      <c r="P33" s="95">
        <f>_xlfn.COUNTIFS('別紙2-1出動実績報告表'!$O:$O,4,'別紙2-1出動実績報告表'!$P:$P,4,'別紙2-1出動実績報告表'!$Q:$Q,2,'別紙2-1出動実績報告表'!$R:$R,1,'別紙2-1出動実績報告表'!$S:$S,4)</f>
        <v>0</v>
      </c>
      <c r="Q33" s="95">
        <f>_xlfn.COUNTIFS('別紙2-1出動実績報告表'!$O:$O,5,'別紙2-1出動実績報告表'!$P:$P,1,'別紙2-1出動実績報告表'!$Q:$Q,2,'別紙2-1出動実績報告表'!$R:$R,1,'別紙2-1出動実績報告表'!$S:$S,4)</f>
        <v>0</v>
      </c>
      <c r="R33" s="95">
        <f>_xlfn.COUNTIFS('別紙2-1出動実績報告表'!$O:$O,9,'別紙2-1出動実績報告表'!$P:$P,9,'別紙2-1出動実績報告表'!$Q:$Q,2,'別紙2-1出動実績報告表'!$R:$R,1,'別紙2-1出動実績報告表'!$S:$S,4)</f>
        <v>0</v>
      </c>
      <c r="S33" s="95">
        <f>_xlfn.COUNTIFS('別紙2-1出動実績報告表'!$O:$O,0,'別紙2-1出動実績報告表'!$P:$P,0,'別紙2-1出動実績報告表'!$Q:$Q,2,'別紙2-1出動実績報告表'!$R:$R,1,'別紙2-1出動実績報告表'!$S:$S,4)</f>
        <v>0</v>
      </c>
      <c r="T33" s="95">
        <f t="shared" si="0"/>
        <v>0</v>
      </c>
      <c r="U33" s="96"/>
    </row>
    <row r="34" spans="1:21" ht="15" customHeight="1">
      <c r="A34" s="97"/>
      <c r="B34" s="79" t="s">
        <v>196</v>
      </c>
      <c r="C34" s="93" t="s">
        <v>160</v>
      </c>
      <c r="D34" s="98" t="s">
        <v>197</v>
      </c>
      <c r="E34" s="95">
        <f>_xlfn.COUNTIFS('別紙2-1出動実績報告表'!$O:$O,1,'別紙2-1出動実績報告表'!$P:$P,1,'別紙2-1出動実績報告表'!$Q:$Q,2,'別紙2-1出動実績報告表'!$R:$R,1,'別紙2-1出動実績報告表'!$S:$S,5)</f>
        <v>0</v>
      </c>
      <c r="F34" s="95">
        <f>_xlfn.COUNTIFS('別紙2-1出動実績報告表'!$O:$O,1,'別紙2-1出動実績報告表'!$P:$P,2,'別紙2-1出動実績報告表'!$Q:$Q,2,'別紙2-1出動実績報告表'!$R:$R,1,'別紙2-1出動実績報告表'!$S:$S,5)</f>
        <v>0</v>
      </c>
      <c r="G34" s="95">
        <f>_xlfn.COUNTIFS('別紙2-1出動実績報告表'!$O:$O,1,'別紙2-1出動実績報告表'!$P:$P,3,'別紙2-1出動実績報告表'!$Q:$Q,2,'別紙2-1出動実績報告表'!$R:$R,1,'別紙2-1出動実績報告表'!$S:$S,5)</f>
        <v>0</v>
      </c>
      <c r="H34" s="95">
        <f>_xlfn.COUNTIFS('別紙2-1出動実績報告表'!$O:$O,2,'別紙2-1出動実績報告表'!$P:$P,1,'別紙2-1出動実績報告表'!$Q:$Q,2,'別紙2-1出動実績報告表'!$R:$R,1,'別紙2-1出動実績報告表'!$S:$S,5)</f>
        <v>0</v>
      </c>
      <c r="I34" s="95">
        <f>_xlfn.COUNTIFS('別紙2-1出動実績報告表'!$O:$O,2,'別紙2-1出動実績報告表'!$P:$P,2,'別紙2-1出動実績報告表'!$Q:$Q,2,'別紙2-1出動実績報告表'!$R:$R,1,'別紙2-1出動実績報告表'!$S:$S,5)</f>
        <v>0</v>
      </c>
      <c r="J34" s="95">
        <f>_xlfn.COUNTIFS('別紙2-1出動実績報告表'!$O:$O,3,'別紙2-1出動実績報告表'!$P:$P,1,'別紙2-1出動実績報告表'!$Q:$Q,2,'別紙2-1出動実績報告表'!$R:$R,1,'別紙2-1出動実績報告表'!$S:$S,5)</f>
        <v>0</v>
      </c>
      <c r="K34" s="95">
        <f>_xlfn.COUNTIFS('別紙2-1出動実績報告表'!$O:$O,3,'別紙2-1出動実績報告表'!$P:$P,2,'別紙2-1出動実績報告表'!$Q:$Q,2,'別紙2-1出動実績報告表'!$R:$R,1,'別紙2-1出動実績報告表'!$S:$S,5)</f>
        <v>0</v>
      </c>
      <c r="L34" s="95">
        <f>_xlfn.COUNTIFS('別紙2-1出動実績報告表'!$O:$O,3,'別紙2-1出動実績報告表'!$P:$P,3,'別紙2-1出動実績報告表'!$Q:$Q,2,'別紙2-1出動実績報告表'!$R:$R,1,'別紙2-1出動実績報告表'!$S:$S,5)</f>
        <v>0</v>
      </c>
      <c r="M34" s="95">
        <f>_xlfn.COUNTIFS('別紙2-1出動実績報告表'!$O:$O,4,'別紙2-1出動実績報告表'!$P:$P,1,'別紙2-1出動実績報告表'!$Q:$Q,2,'別紙2-1出動実績報告表'!$R:$R,1,'別紙2-1出動実績報告表'!$S:$S,5)</f>
        <v>0</v>
      </c>
      <c r="N34" s="95">
        <f>_xlfn.COUNTIFS('別紙2-1出動実績報告表'!$O:$O,4,'別紙2-1出動実績報告表'!$P:$P,2,'別紙2-1出動実績報告表'!$Q:$Q,2,'別紙2-1出動実績報告表'!$R:$R,1,'別紙2-1出動実績報告表'!$S:$S,5)</f>
        <v>0</v>
      </c>
      <c r="O34" s="95">
        <f>_xlfn.COUNTIFS('別紙2-1出動実績報告表'!$O:$O,4,'別紙2-1出動実績報告表'!$P:$P,3,'別紙2-1出動実績報告表'!$Q:$Q,2,'別紙2-1出動実績報告表'!$R:$R,1,'別紙2-1出動実績報告表'!$S:$S,5)</f>
        <v>0</v>
      </c>
      <c r="P34" s="95">
        <f>_xlfn.COUNTIFS('別紙2-1出動実績報告表'!$O:$O,4,'別紙2-1出動実績報告表'!$P:$P,4,'別紙2-1出動実績報告表'!$Q:$Q,2,'別紙2-1出動実績報告表'!$R:$R,1,'別紙2-1出動実績報告表'!$S:$S,5)</f>
        <v>0</v>
      </c>
      <c r="Q34" s="95">
        <f>_xlfn.COUNTIFS('別紙2-1出動実績報告表'!$O:$O,5,'別紙2-1出動実績報告表'!$P:$P,1,'別紙2-1出動実績報告表'!$Q:$Q,2,'別紙2-1出動実績報告表'!$R:$R,1,'別紙2-1出動実績報告表'!$S:$S,5)</f>
        <v>0</v>
      </c>
      <c r="R34" s="95">
        <f>_xlfn.COUNTIFS('別紙2-1出動実績報告表'!$O:$O,9,'別紙2-1出動実績報告表'!$P:$P,9,'別紙2-1出動実績報告表'!$Q:$Q,2,'別紙2-1出動実績報告表'!$R:$R,1,'別紙2-1出動実績報告表'!$S:$S,5)</f>
        <v>0</v>
      </c>
      <c r="S34" s="95">
        <f>_xlfn.COUNTIFS('別紙2-1出動実績報告表'!$O:$O,0,'別紙2-1出動実績報告表'!$P:$P,0,'別紙2-1出動実績報告表'!$Q:$Q,2,'別紙2-1出動実績報告表'!$R:$R,1,'別紙2-1出動実績報告表'!$S:$S,5)</f>
        <v>0</v>
      </c>
      <c r="T34" s="95">
        <f t="shared" si="0"/>
        <v>0</v>
      </c>
      <c r="U34" s="96"/>
    </row>
    <row r="35" spans="1:21" ht="15" customHeight="1">
      <c r="A35" s="97"/>
      <c r="B35" s="79" t="s">
        <v>191</v>
      </c>
      <c r="C35" s="93"/>
      <c r="D35" s="98" t="s">
        <v>198</v>
      </c>
      <c r="E35" s="95">
        <f>_xlfn.COUNTIFS('別紙2-1出動実績報告表'!$O:$O,1,'別紙2-1出動実績報告表'!$P:$P,1,'別紙2-1出動実績報告表'!$Q:$Q,2,'別紙2-1出動実績報告表'!$R:$R,1,'別紙2-1出動実績報告表'!$S:$S,6)</f>
        <v>0</v>
      </c>
      <c r="F35" s="95">
        <f>_xlfn.COUNTIFS('別紙2-1出動実績報告表'!$O:$O,1,'別紙2-1出動実績報告表'!$P:$P,2,'別紙2-1出動実績報告表'!$Q:$Q,2,'別紙2-1出動実績報告表'!$R:$R,1,'別紙2-1出動実績報告表'!$S:$S,6)</f>
        <v>0</v>
      </c>
      <c r="G35" s="95">
        <f>_xlfn.COUNTIFS('別紙2-1出動実績報告表'!$O:$O,1,'別紙2-1出動実績報告表'!$P:$P,3,'別紙2-1出動実績報告表'!$Q:$Q,2,'別紙2-1出動実績報告表'!$R:$R,1,'別紙2-1出動実績報告表'!$S:$S,6)</f>
        <v>0</v>
      </c>
      <c r="H35" s="95">
        <f>_xlfn.COUNTIFS('別紙2-1出動実績報告表'!$O:$O,2,'別紙2-1出動実績報告表'!$P:$P,1,'別紙2-1出動実績報告表'!$Q:$Q,2,'別紙2-1出動実績報告表'!$R:$R,1,'別紙2-1出動実績報告表'!$S:$S,6)</f>
        <v>0</v>
      </c>
      <c r="I35" s="95">
        <f>_xlfn.COUNTIFS('別紙2-1出動実績報告表'!$O:$O,2,'別紙2-1出動実績報告表'!$P:$P,2,'別紙2-1出動実績報告表'!$Q:$Q,2,'別紙2-1出動実績報告表'!$R:$R,1,'別紙2-1出動実績報告表'!$S:$S,6)</f>
        <v>0</v>
      </c>
      <c r="J35" s="95">
        <f>_xlfn.COUNTIFS('別紙2-1出動実績報告表'!$O:$O,3,'別紙2-1出動実績報告表'!$P:$P,1,'別紙2-1出動実績報告表'!$Q:$Q,2,'別紙2-1出動実績報告表'!$R:$R,1,'別紙2-1出動実績報告表'!$S:$S,6)</f>
        <v>0</v>
      </c>
      <c r="K35" s="95">
        <f>_xlfn.COUNTIFS('別紙2-1出動実績報告表'!$O:$O,3,'別紙2-1出動実績報告表'!$P:$P,2,'別紙2-1出動実績報告表'!$Q:$Q,2,'別紙2-1出動実績報告表'!$R:$R,1,'別紙2-1出動実績報告表'!$S:$S,6)</f>
        <v>0</v>
      </c>
      <c r="L35" s="95">
        <f>_xlfn.COUNTIFS('別紙2-1出動実績報告表'!$O:$O,3,'別紙2-1出動実績報告表'!$P:$P,3,'別紙2-1出動実績報告表'!$Q:$Q,2,'別紙2-1出動実績報告表'!$R:$R,1,'別紙2-1出動実績報告表'!$S:$S,6)</f>
        <v>0</v>
      </c>
      <c r="M35" s="95">
        <f>_xlfn.COUNTIFS('別紙2-1出動実績報告表'!$O:$O,4,'別紙2-1出動実績報告表'!$P:$P,1,'別紙2-1出動実績報告表'!$Q:$Q,2,'別紙2-1出動実績報告表'!$R:$R,1,'別紙2-1出動実績報告表'!$S:$S,6)</f>
        <v>0</v>
      </c>
      <c r="N35" s="95">
        <f>_xlfn.COUNTIFS('別紙2-1出動実績報告表'!$O:$O,4,'別紙2-1出動実績報告表'!$P:$P,2,'別紙2-1出動実績報告表'!$Q:$Q,2,'別紙2-1出動実績報告表'!$R:$R,1,'別紙2-1出動実績報告表'!$S:$S,6)</f>
        <v>0</v>
      </c>
      <c r="O35" s="95">
        <f>_xlfn.COUNTIFS('別紙2-1出動実績報告表'!$O:$O,4,'別紙2-1出動実績報告表'!$P:$P,3,'別紙2-1出動実績報告表'!$Q:$Q,2,'別紙2-1出動実績報告表'!$R:$R,1,'別紙2-1出動実績報告表'!$S:$S,6)</f>
        <v>0</v>
      </c>
      <c r="P35" s="95">
        <f>_xlfn.COUNTIFS('別紙2-1出動実績報告表'!$O:$O,4,'別紙2-1出動実績報告表'!$P:$P,4,'別紙2-1出動実績報告表'!$Q:$Q,2,'別紙2-1出動実績報告表'!$R:$R,1,'別紙2-1出動実績報告表'!$S:$S,6)</f>
        <v>0</v>
      </c>
      <c r="Q35" s="95">
        <f>_xlfn.COUNTIFS('別紙2-1出動実績報告表'!$O:$O,5,'別紙2-1出動実績報告表'!$P:$P,1,'別紙2-1出動実績報告表'!$Q:$Q,2,'別紙2-1出動実績報告表'!$R:$R,1,'別紙2-1出動実績報告表'!$S:$S,6)</f>
        <v>0</v>
      </c>
      <c r="R35" s="95">
        <f>_xlfn.COUNTIFS('別紙2-1出動実績報告表'!$O:$O,9,'別紙2-1出動実績報告表'!$P:$P,9,'別紙2-1出動実績報告表'!$Q:$Q,2,'別紙2-1出動実績報告表'!$R:$R,1,'別紙2-1出動実績報告表'!$S:$S,6)</f>
        <v>0</v>
      </c>
      <c r="S35" s="95">
        <f>_xlfn.COUNTIFS('別紙2-1出動実績報告表'!$O:$O,0,'別紙2-1出動実績報告表'!$P:$P,0,'別紙2-1出動実績報告表'!$Q:$Q,2,'別紙2-1出動実績報告表'!$R:$R,1,'別紙2-1出動実績報告表'!$S:$S,6)</f>
        <v>0</v>
      </c>
      <c r="T35" s="95">
        <f t="shared" si="0"/>
        <v>0</v>
      </c>
      <c r="U35" s="96"/>
    </row>
    <row r="36" spans="1:21" ht="15" customHeight="1">
      <c r="A36" s="97"/>
      <c r="B36" s="79" t="s">
        <v>199</v>
      </c>
      <c r="C36" s="94"/>
      <c r="D36" s="98" t="s">
        <v>162</v>
      </c>
      <c r="E36" s="95">
        <f>_xlfn.COUNTIFS('別紙2-1出動実績報告表'!$O:$O,1,'別紙2-1出動実績報告表'!$P:$P,1,'別紙2-1出動実績報告表'!$Q:$Q,2,'別紙2-1出動実績報告表'!$R:$R,1,'別紙2-1出動実績報告表'!$S:$S,9)</f>
        <v>0</v>
      </c>
      <c r="F36" s="95">
        <f>_xlfn.COUNTIFS('別紙2-1出動実績報告表'!$O:$O,1,'別紙2-1出動実績報告表'!$P:$P,2,'別紙2-1出動実績報告表'!$Q:$Q,2,'別紙2-1出動実績報告表'!$R:$R,1,'別紙2-1出動実績報告表'!$S:$S,9)</f>
        <v>0</v>
      </c>
      <c r="G36" s="95">
        <f>_xlfn.COUNTIFS('別紙2-1出動実績報告表'!$O:$O,1,'別紙2-1出動実績報告表'!$P:$P,3,'別紙2-1出動実績報告表'!$Q:$Q,2,'別紙2-1出動実績報告表'!$R:$R,1,'別紙2-1出動実績報告表'!$S:$S,9)</f>
        <v>0</v>
      </c>
      <c r="H36" s="95">
        <f>_xlfn.COUNTIFS('別紙2-1出動実績報告表'!$O:$O,2,'別紙2-1出動実績報告表'!$P:$P,1,'別紙2-1出動実績報告表'!$Q:$Q,2,'別紙2-1出動実績報告表'!$R:$R,1,'別紙2-1出動実績報告表'!$S:$S,9)</f>
        <v>0</v>
      </c>
      <c r="I36" s="95">
        <f>_xlfn.COUNTIFS('別紙2-1出動実績報告表'!$O:$O,2,'別紙2-1出動実績報告表'!$P:$P,2,'別紙2-1出動実績報告表'!$Q:$Q,2,'別紙2-1出動実績報告表'!$R:$R,1,'別紙2-1出動実績報告表'!$S:$S,9)</f>
        <v>0</v>
      </c>
      <c r="J36" s="95">
        <f>_xlfn.COUNTIFS('別紙2-1出動実績報告表'!$O:$O,3,'別紙2-1出動実績報告表'!$P:$P,1,'別紙2-1出動実績報告表'!$Q:$Q,2,'別紙2-1出動実績報告表'!$R:$R,1,'別紙2-1出動実績報告表'!$S:$S,9)</f>
        <v>0</v>
      </c>
      <c r="K36" s="95">
        <f>_xlfn.COUNTIFS('別紙2-1出動実績報告表'!$O:$O,3,'別紙2-1出動実績報告表'!$P:$P,2,'別紙2-1出動実績報告表'!$Q:$Q,2,'別紙2-1出動実績報告表'!$R:$R,1,'別紙2-1出動実績報告表'!$S:$S,9)</f>
        <v>0</v>
      </c>
      <c r="L36" s="95">
        <f>_xlfn.COUNTIFS('別紙2-1出動実績報告表'!$O:$O,3,'別紙2-1出動実績報告表'!$P:$P,3,'別紙2-1出動実績報告表'!$Q:$Q,2,'別紙2-1出動実績報告表'!$R:$R,1,'別紙2-1出動実績報告表'!$S:$S,9)</f>
        <v>0</v>
      </c>
      <c r="M36" s="95">
        <f>_xlfn.COUNTIFS('別紙2-1出動実績報告表'!$O:$O,4,'別紙2-1出動実績報告表'!$P:$P,1,'別紙2-1出動実績報告表'!$Q:$Q,2,'別紙2-1出動実績報告表'!$R:$R,1,'別紙2-1出動実績報告表'!$S:$S,9)</f>
        <v>0</v>
      </c>
      <c r="N36" s="95">
        <f>_xlfn.COUNTIFS('別紙2-1出動実績報告表'!$O:$O,4,'別紙2-1出動実績報告表'!$P:$P,2,'別紙2-1出動実績報告表'!$Q:$Q,2,'別紙2-1出動実績報告表'!$R:$R,1,'別紙2-1出動実績報告表'!$S:$S,9)</f>
        <v>0</v>
      </c>
      <c r="O36" s="95">
        <f>_xlfn.COUNTIFS('別紙2-1出動実績報告表'!$O:$O,4,'別紙2-1出動実績報告表'!$P:$P,3,'別紙2-1出動実績報告表'!$Q:$Q,2,'別紙2-1出動実績報告表'!$R:$R,1,'別紙2-1出動実績報告表'!$S:$S,9)</f>
        <v>0</v>
      </c>
      <c r="P36" s="95">
        <f>_xlfn.COUNTIFS('別紙2-1出動実績報告表'!$O:$O,4,'別紙2-1出動実績報告表'!$P:$P,4,'別紙2-1出動実績報告表'!$Q:$Q,2,'別紙2-1出動実績報告表'!$R:$R,1,'別紙2-1出動実績報告表'!$S:$S,9)</f>
        <v>0</v>
      </c>
      <c r="Q36" s="95">
        <f>_xlfn.COUNTIFS('別紙2-1出動実績報告表'!$O:$O,5,'別紙2-1出動実績報告表'!$P:$P,1,'別紙2-1出動実績報告表'!$Q:$Q,2,'別紙2-1出動実績報告表'!$R:$R,1,'別紙2-1出動実績報告表'!$S:$S,9)</f>
        <v>0</v>
      </c>
      <c r="R36" s="95">
        <f>_xlfn.COUNTIFS('別紙2-1出動実績報告表'!$O:$O,9,'別紙2-1出動実績報告表'!$P:$P,9,'別紙2-1出動実績報告表'!$Q:$Q,2,'別紙2-1出動実績報告表'!$R:$R,1,'別紙2-1出動実績報告表'!$S:$S,9)</f>
        <v>0</v>
      </c>
      <c r="S36" s="95">
        <f>_xlfn.COUNTIFS('別紙2-1出動実績報告表'!$O:$O,0,'別紙2-1出動実績報告表'!$P:$P,0,'別紙2-1出動実績報告表'!$Q:$Q,2,'別紙2-1出動実績報告表'!$R:$R,1,'別紙2-1出動実績報告表'!$S:$S,9)</f>
        <v>0</v>
      </c>
      <c r="T36" s="95">
        <f t="shared" si="0"/>
        <v>0</v>
      </c>
      <c r="U36" s="96"/>
    </row>
    <row r="37" spans="1:21" ht="15" customHeight="1">
      <c r="A37" s="97"/>
      <c r="B37" s="79" t="s">
        <v>200</v>
      </c>
      <c r="C37" s="99"/>
      <c r="D37" s="98" t="s">
        <v>201</v>
      </c>
      <c r="E37" s="95">
        <f>_xlfn.COUNTIFS('別紙2-1出動実績報告表'!$O:$O,1,'別紙2-1出動実績報告表'!$P:$P,1,'別紙2-1出動実績報告表'!$Q:$Q,2,'別紙2-1出動実績報告表'!$R:$R,9,'別紙2-1出動実績報告表'!$S:$S,1)</f>
        <v>0</v>
      </c>
      <c r="F37" s="95">
        <f>_xlfn.COUNTIFS('別紙2-1出動実績報告表'!$O:$O,1,'別紙2-1出動実績報告表'!$P:$P,2,'別紙2-1出動実績報告表'!$Q:$Q,2,'別紙2-1出動実績報告表'!$R:$R,9,'別紙2-1出動実績報告表'!$S:$S,1)</f>
        <v>0</v>
      </c>
      <c r="G37" s="95">
        <f>_xlfn.COUNTIFS('別紙2-1出動実績報告表'!$O:$O,1,'別紙2-1出動実績報告表'!$P:$P,3,'別紙2-1出動実績報告表'!$Q:$Q,2,'別紙2-1出動実績報告表'!$R:$R,9,'別紙2-1出動実績報告表'!$S:$S,1)</f>
        <v>0</v>
      </c>
      <c r="H37" s="95">
        <f>_xlfn.COUNTIFS('別紙2-1出動実績報告表'!$O:$O,2,'別紙2-1出動実績報告表'!$P:$P,1,'別紙2-1出動実績報告表'!$Q:$Q,2,'別紙2-1出動実績報告表'!$R:$R,9,'別紙2-1出動実績報告表'!$S:$S,1)</f>
        <v>0</v>
      </c>
      <c r="I37" s="95">
        <f>_xlfn.COUNTIFS('別紙2-1出動実績報告表'!$O:$O,2,'別紙2-1出動実績報告表'!$P:$P,2,'別紙2-1出動実績報告表'!$Q:$Q,2,'別紙2-1出動実績報告表'!$R:$R,9,'別紙2-1出動実績報告表'!$S:$S,1)</f>
        <v>0</v>
      </c>
      <c r="J37" s="95">
        <f>_xlfn.COUNTIFS('別紙2-1出動実績報告表'!$O:$O,3,'別紙2-1出動実績報告表'!$P:$P,1,'別紙2-1出動実績報告表'!$Q:$Q,2,'別紙2-1出動実績報告表'!$R:$R,9,'別紙2-1出動実績報告表'!$S:$S,1)</f>
        <v>0</v>
      </c>
      <c r="K37" s="95">
        <f>_xlfn.COUNTIFS('別紙2-1出動実績報告表'!$O:$O,3,'別紙2-1出動実績報告表'!$P:$P,2,'別紙2-1出動実績報告表'!$Q:$Q,2,'別紙2-1出動実績報告表'!$R:$R,9,'別紙2-1出動実績報告表'!$S:$S,1)</f>
        <v>0</v>
      </c>
      <c r="L37" s="95">
        <f>_xlfn.COUNTIFS('別紙2-1出動実績報告表'!$O:$O,3,'別紙2-1出動実績報告表'!$P:$P,3,'別紙2-1出動実績報告表'!$Q:$Q,2,'別紙2-1出動実績報告表'!$R:$R,9,'別紙2-1出動実績報告表'!$S:$S,1)</f>
        <v>0</v>
      </c>
      <c r="M37" s="95">
        <f>_xlfn.COUNTIFS('別紙2-1出動実績報告表'!$O:$O,4,'別紙2-1出動実績報告表'!$P:$P,1,'別紙2-1出動実績報告表'!$Q:$Q,2,'別紙2-1出動実績報告表'!$R:$R,9,'別紙2-1出動実績報告表'!$S:$S,1)</f>
        <v>0</v>
      </c>
      <c r="N37" s="95">
        <f>_xlfn.COUNTIFS('別紙2-1出動実績報告表'!$O:$O,4,'別紙2-1出動実績報告表'!$P:$P,2,'別紙2-1出動実績報告表'!$Q:$Q,2,'別紙2-1出動実績報告表'!$R:$R,9,'別紙2-1出動実績報告表'!$S:$S,1)</f>
        <v>0</v>
      </c>
      <c r="O37" s="95">
        <f>_xlfn.COUNTIFS('別紙2-1出動実績報告表'!$O:$O,4,'別紙2-1出動実績報告表'!$P:$P,3,'別紙2-1出動実績報告表'!$Q:$Q,2,'別紙2-1出動実績報告表'!$R:$R,9,'別紙2-1出動実績報告表'!$S:$S,1)</f>
        <v>0</v>
      </c>
      <c r="P37" s="95">
        <f>_xlfn.COUNTIFS('別紙2-1出動実績報告表'!$O:$O,4,'別紙2-1出動実績報告表'!$P:$P,4,'別紙2-1出動実績報告表'!$Q:$Q,2,'別紙2-1出動実績報告表'!$R:$R,9,'別紙2-1出動実績報告表'!$S:$S,1)</f>
        <v>0</v>
      </c>
      <c r="Q37" s="95">
        <f>_xlfn.COUNTIFS('別紙2-1出動実績報告表'!$O:$O,5,'別紙2-1出動実績報告表'!$P:$P,1,'別紙2-1出動実績報告表'!$Q:$Q,2,'別紙2-1出動実績報告表'!$R:$R,9,'別紙2-1出動実績報告表'!$S:$S,1)</f>
        <v>0</v>
      </c>
      <c r="R37" s="95">
        <f>_xlfn.COUNTIFS('別紙2-1出動実績報告表'!$O:$O,9,'別紙2-1出動実績報告表'!$P:$P,9,'別紙2-1出動実績報告表'!$Q:$Q,2,'別紙2-1出動実績報告表'!$R:$R,9,'別紙2-1出動実績報告表'!$S:$S,1)</f>
        <v>0</v>
      </c>
      <c r="S37" s="95">
        <f>_xlfn.COUNTIFS('別紙2-1出動実績報告表'!$O:$O,0,'別紙2-1出動実績報告表'!$P:$P,0,'別紙2-1出動実績報告表'!$Q:$Q,2,'別紙2-1出動実績報告表'!$R:$R,9,'別紙2-1出動実績報告表'!$S:$S,1)</f>
        <v>0</v>
      </c>
      <c r="T37" s="95">
        <f t="shared" si="0"/>
        <v>0</v>
      </c>
      <c r="U37" s="96"/>
    </row>
    <row r="38" spans="1:21" ht="15" customHeight="1">
      <c r="A38" s="97"/>
      <c r="B38" s="79" t="s">
        <v>147</v>
      </c>
      <c r="C38" s="93" t="s">
        <v>129</v>
      </c>
      <c r="D38" s="98" t="s">
        <v>202</v>
      </c>
      <c r="E38" s="95">
        <f>_xlfn.COUNTIFS('別紙2-1出動実績報告表'!$O:$O,1,'別紙2-1出動実績報告表'!$P:$P,1,'別紙2-1出動実績報告表'!$Q:$Q,2,'別紙2-1出動実績報告表'!$R:$R,9,'別紙2-1出動実績報告表'!$S:$S,2)</f>
        <v>0</v>
      </c>
      <c r="F38" s="95">
        <f>_xlfn.COUNTIFS('別紙2-1出動実績報告表'!$O:$O,1,'別紙2-1出動実績報告表'!$P:$P,2,'別紙2-1出動実績報告表'!$Q:$Q,2,'別紙2-1出動実績報告表'!$R:$R,9,'別紙2-1出動実績報告表'!$S:$S,2)</f>
        <v>0</v>
      </c>
      <c r="G38" s="95">
        <f>_xlfn.COUNTIFS('別紙2-1出動実績報告表'!$O:$O,1,'別紙2-1出動実績報告表'!$P:$P,3,'別紙2-1出動実績報告表'!$Q:$Q,2,'別紙2-1出動実績報告表'!$R:$R,9,'別紙2-1出動実績報告表'!$S:$S,2)</f>
        <v>0</v>
      </c>
      <c r="H38" s="95">
        <f>_xlfn.COUNTIFS('別紙2-1出動実績報告表'!$O:$O,2,'別紙2-1出動実績報告表'!$P:$P,1,'別紙2-1出動実績報告表'!$Q:$Q,2,'別紙2-1出動実績報告表'!$R:$R,9,'別紙2-1出動実績報告表'!$S:$S,2)</f>
        <v>0</v>
      </c>
      <c r="I38" s="95">
        <f>_xlfn.COUNTIFS('別紙2-1出動実績報告表'!$O:$O,2,'別紙2-1出動実績報告表'!$P:$P,2,'別紙2-1出動実績報告表'!$Q:$Q,2,'別紙2-1出動実績報告表'!$R:$R,9,'別紙2-1出動実績報告表'!$S:$S,2)</f>
        <v>0</v>
      </c>
      <c r="J38" s="95">
        <f>_xlfn.COUNTIFS('別紙2-1出動実績報告表'!$O:$O,3,'別紙2-1出動実績報告表'!$P:$P,1,'別紙2-1出動実績報告表'!$Q:$Q,2,'別紙2-1出動実績報告表'!$R:$R,9,'別紙2-1出動実績報告表'!$S:$S,2)</f>
        <v>0</v>
      </c>
      <c r="K38" s="95">
        <f>_xlfn.COUNTIFS('別紙2-1出動実績報告表'!$O:$O,3,'別紙2-1出動実績報告表'!$P:$P,2,'別紙2-1出動実績報告表'!$Q:$Q,2,'別紙2-1出動実績報告表'!$R:$R,9,'別紙2-1出動実績報告表'!$S:$S,2)</f>
        <v>0</v>
      </c>
      <c r="L38" s="95">
        <f>_xlfn.COUNTIFS('別紙2-1出動実績報告表'!$O:$O,3,'別紙2-1出動実績報告表'!$P:$P,3,'別紙2-1出動実績報告表'!$Q:$Q,2,'別紙2-1出動実績報告表'!$R:$R,9,'別紙2-1出動実績報告表'!$S:$S,2)</f>
        <v>0</v>
      </c>
      <c r="M38" s="95">
        <f>_xlfn.COUNTIFS('別紙2-1出動実績報告表'!$O:$O,4,'別紙2-1出動実績報告表'!$P:$P,1,'別紙2-1出動実績報告表'!$Q:$Q,2,'別紙2-1出動実績報告表'!$R:$R,9,'別紙2-1出動実績報告表'!$S:$S,2)</f>
        <v>0</v>
      </c>
      <c r="N38" s="95">
        <f>_xlfn.COUNTIFS('別紙2-1出動実績報告表'!$O:$O,4,'別紙2-1出動実績報告表'!$P:$P,2,'別紙2-1出動実績報告表'!$Q:$Q,2,'別紙2-1出動実績報告表'!$R:$R,9,'別紙2-1出動実績報告表'!$S:$S,2)</f>
        <v>0</v>
      </c>
      <c r="O38" s="95">
        <f>_xlfn.COUNTIFS('別紙2-1出動実績報告表'!$O:$O,4,'別紙2-1出動実績報告表'!$P:$P,3,'別紙2-1出動実績報告表'!$Q:$Q,2,'別紙2-1出動実績報告表'!$R:$R,9,'別紙2-1出動実績報告表'!$S:$S,2)</f>
        <v>0</v>
      </c>
      <c r="P38" s="95">
        <f>_xlfn.COUNTIFS('別紙2-1出動実績報告表'!$O:$O,4,'別紙2-1出動実績報告表'!$P:$P,4,'別紙2-1出動実績報告表'!$Q:$Q,2,'別紙2-1出動実績報告表'!$R:$R,9,'別紙2-1出動実績報告表'!$S:$S,2)</f>
        <v>0</v>
      </c>
      <c r="Q38" s="95">
        <f>_xlfn.COUNTIFS('別紙2-1出動実績報告表'!$O:$O,5,'別紙2-1出動実績報告表'!$P:$P,1,'別紙2-1出動実績報告表'!$Q:$Q,2,'別紙2-1出動実績報告表'!$R:$R,9,'別紙2-1出動実績報告表'!$S:$S,2)</f>
        <v>0</v>
      </c>
      <c r="R38" s="95">
        <f>_xlfn.COUNTIFS('別紙2-1出動実績報告表'!$O:$O,9,'別紙2-1出動実績報告表'!$P:$P,9,'別紙2-1出動実績報告表'!$Q:$Q,2,'別紙2-1出動実績報告表'!$R:$R,9,'別紙2-1出動実績報告表'!$S:$S,2)</f>
        <v>0</v>
      </c>
      <c r="S38" s="95">
        <f>_xlfn.COUNTIFS('別紙2-1出動実績報告表'!$O:$O,0,'別紙2-1出動実績報告表'!$P:$P,0,'別紙2-1出動実績報告表'!$Q:$Q,2,'別紙2-1出動実績報告表'!$R:$R,9,'別紙2-1出動実績報告表'!$S:$S,2)</f>
        <v>0</v>
      </c>
      <c r="T38" s="95">
        <f t="shared" si="0"/>
        <v>0</v>
      </c>
      <c r="U38" s="96"/>
    </row>
    <row r="39" spans="1:21" ht="15" customHeight="1">
      <c r="A39" s="97"/>
      <c r="B39" s="79" t="s">
        <v>203</v>
      </c>
      <c r="C39" s="93" t="s">
        <v>135</v>
      </c>
      <c r="D39" s="98" t="s">
        <v>204</v>
      </c>
      <c r="E39" s="95">
        <f>_xlfn.COUNTIFS('別紙2-1出動実績報告表'!$O:$O,1,'別紙2-1出動実績報告表'!$P:$P,1,'別紙2-1出動実績報告表'!$Q:$Q,2,'別紙2-1出動実績報告表'!$R:$R,9,'別紙2-1出動実績報告表'!$S:$S,3)</f>
        <v>0</v>
      </c>
      <c r="F39" s="95">
        <f>_xlfn.COUNTIFS('別紙2-1出動実績報告表'!$O:$O,1,'別紙2-1出動実績報告表'!$P:$P,2,'別紙2-1出動実績報告表'!$Q:$Q,2,'別紙2-1出動実績報告表'!$R:$R,9,'別紙2-1出動実績報告表'!$S:$S,3)</f>
        <v>0</v>
      </c>
      <c r="G39" s="95">
        <f>_xlfn.COUNTIFS('別紙2-1出動実績報告表'!$O:$O,1,'別紙2-1出動実績報告表'!$P:$P,3,'別紙2-1出動実績報告表'!$Q:$Q,2,'別紙2-1出動実績報告表'!$R:$R,9,'別紙2-1出動実績報告表'!$S:$S,3)</f>
        <v>0</v>
      </c>
      <c r="H39" s="95">
        <f>_xlfn.COUNTIFS('別紙2-1出動実績報告表'!$O:$O,2,'別紙2-1出動実績報告表'!$P:$P,1,'別紙2-1出動実績報告表'!$Q:$Q,2,'別紙2-1出動実績報告表'!$R:$R,9,'別紙2-1出動実績報告表'!$S:$S,3)</f>
        <v>0</v>
      </c>
      <c r="I39" s="95">
        <f>_xlfn.COUNTIFS('別紙2-1出動実績報告表'!$O:$O,2,'別紙2-1出動実績報告表'!$P:$P,2,'別紙2-1出動実績報告表'!$Q:$Q,2,'別紙2-1出動実績報告表'!$R:$R,9,'別紙2-1出動実績報告表'!$S:$S,3)</f>
        <v>0</v>
      </c>
      <c r="J39" s="95">
        <f>_xlfn.COUNTIFS('別紙2-1出動実績報告表'!$O:$O,3,'別紙2-1出動実績報告表'!$P:$P,1,'別紙2-1出動実績報告表'!$Q:$Q,2,'別紙2-1出動実績報告表'!$R:$R,9,'別紙2-1出動実績報告表'!$S:$S,3)</f>
        <v>0</v>
      </c>
      <c r="K39" s="95">
        <f>_xlfn.COUNTIFS('別紙2-1出動実績報告表'!$O:$O,3,'別紙2-1出動実績報告表'!$P:$P,2,'別紙2-1出動実績報告表'!$Q:$Q,2,'別紙2-1出動実績報告表'!$R:$R,9,'別紙2-1出動実績報告表'!$S:$S,3)</f>
        <v>0</v>
      </c>
      <c r="L39" s="95">
        <f>_xlfn.COUNTIFS('別紙2-1出動実績報告表'!$O:$O,3,'別紙2-1出動実績報告表'!$P:$P,3,'別紙2-1出動実績報告表'!$Q:$Q,2,'別紙2-1出動実績報告表'!$R:$R,9,'別紙2-1出動実績報告表'!$S:$S,3)</f>
        <v>0</v>
      </c>
      <c r="M39" s="95">
        <f>_xlfn.COUNTIFS('別紙2-1出動実績報告表'!$O:$O,4,'別紙2-1出動実績報告表'!$P:$P,1,'別紙2-1出動実績報告表'!$Q:$Q,2,'別紙2-1出動実績報告表'!$R:$R,9,'別紙2-1出動実績報告表'!$S:$S,3)</f>
        <v>0</v>
      </c>
      <c r="N39" s="95">
        <f>_xlfn.COUNTIFS('別紙2-1出動実績報告表'!$O:$O,4,'別紙2-1出動実績報告表'!$P:$P,2,'別紙2-1出動実績報告表'!$Q:$Q,2,'別紙2-1出動実績報告表'!$R:$R,9,'別紙2-1出動実績報告表'!$S:$S,3)</f>
        <v>0</v>
      </c>
      <c r="O39" s="95">
        <f>_xlfn.COUNTIFS('別紙2-1出動実績報告表'!$O:$O,4,'別紙2-1出動実績報告表'!$P:$P,3,'別紙2-1出動実績報告表'!$Q:$Q,2,'別紙2-1出動実績報告表'!$R:$R,9,'別紙2-1出動実績報告表'!$S:$S,3)</f>
        <v>0</v>
      </c>
      <c r="P39" s="95">
        <f>_xlfn.COUNTIFS('別紙2-1出動実績報告表'!$O:$O,4,'別紙2-1出動実績報告表'!$P:$P,4,'別紙2-1出動実績報告表'!$Q:$Q,2,'別紙2-1出動実績報告表'!$R:$R,9,'別紙2-1出動実績報告表'!$S:$S,3)</f>
        <v>0</v>
      </c>
      <c r="Q39" s="95">
        <f>_xlfn.COUNTIFS('別紙2-1出動実績報告表'!$O:$O,5,'別紙2-1出動実績報告表'!$P:$P,1,'別紙2-1出動実績報告表'!$Q:$Q,2,'別紙2-1出動実績報告表'!$R:$R,9,'別紙2-1出動実績報告表'!$S:$S,3)</f>
        <v>0</v>
      </c>
      <c r="R39" s="95">
        <f>_xlfn.COUNTIFS('別紙2-1出動実績報告表'!$O:$O,9,'別紙2-1出動実績報告表'!$P:$P,9,'別紙2-1出動実績報告表'!$Q:$Q,2,'別紙2-1出動実績報告表'!$R:$R,9,'別紙2-1出動実績報告表'!$S:$S,3)</f>
        <v>0</v>
      </c>
      <c r="S39" s="95">
        <f>_xlfn.COUNTIFS('別紙2-1出動実績報告表'!$O:$O,0,'別紙2-1出動実績報告表'!$P:$P,0,'別紙2-1出動実績報告表'!$Q:$Q,2,'別紙2-1出動実績報告表'!$R:$R,9,'別紙2-1出動実績報告表'!$S:$S,3)</f>
        <v>0</v>
      </c>
      <c r="T39" s="95">
        <f t="shared" si="0"/>
        <v>0</v>
      </c>
      <c r="U39" s="96"/>
    </row>
    <row r="40" spans="1:21" ht="15" customHeight="1">
      <c r="A40" s="97"/>
      <c r="B40" s="79"/>
      <c r="C40" s="93" t="s">
        <v>150</v>
      </c>
      <c r="D40" s="98" t="s">
        <v>205</v>
      </c>
      <c r="E40" s="95">
        <f>_xlfn.COUNTIFS('別紙2-1出動実績報告表'!$O:$O,1,'別紙2-1出動実績報告表'!$P:$P,1,'別紙2-1出動実績報告表'!$Q:$Q,2,'別紙2-1出動実績報告表'!$R:$R,9,'別紙2-1出動実績報告表'!$S:$S,4)</f>
        <v>0</v>
      </c>
      <c r="F40" s="95">
        <f>_xlfn.COUNTIFS('別紙2-1出動実績報告表'!$O:$O,1,'別紙2-1出動実績報告表'!$P:$P,2,'別紙2-1出動実績報告表'!$Q:$Q,2,'別紙2-1出動実績報告表'!$R:$R,9,'別紙2-1出動実績報告表'!$S:$S,4)</f>
        <v>0</v>
      </c>
      <c r="G40" s="95">
        <f>_xlfn.COUNTIFS('別紙2-1出動実績報告表'!$O:$O,1,'別紙2-1出動実績報告表'!$P:$P,3,'別紙2-1出動実績報告表'!$Q:$Q,2,'別紙2-1出動実績報告表'!$R:$R,9,'別紙2-1出動実績報告表'!$S:$S,4)</f>
        <v>0</v>
      </c>
      <c r="H40" s="95">
        <f>_xlfn.COUNTIFS('別紙2-1出動実績報告表'!$O:$O,2,'別紙2-1出動実績報告表'!$P:$P,1,'別紙2-1出動実績報告表'!$Q:$Q,2,'別紙2-1出動実績報告表'!$R:$R,9,'別紙2-1出動実績報告表'!$S:$S,4)</f>
        <v>0</v>
      </c>
      <c r="I40" s="95">
        <f>_xlfn.COUNTIFS('別紙2-1出動実績報告表'!$O:$O,2,'別紙2-1出動実績報告表'!$P:$P,2,'別紙2-1出動実績報告表'!$Q:$Q,2,'別紙2-1出動実績報告表'!$R:$R,9,'別紙2-1出動実績報告表'!$S:$S,4)</f>
        <v>0</v>
      </c>
      <c r="J40" s="95">
        <f>_xlfn.COUNTIFS('別紙2-1出動実績報告表'!$O:$O,3,'別紙2-1出動実績報告表'!$P:$P,1,'別紙2-1出動実績報告表'!$Q:$Q,2,'別紙2-1出動実績報告表'!$R:$R,9,'別紙2-1出動実績報告表'!$S:$S,4)</f>
        <v>0</v>
      </c>
      <c r="K40" s="95">
        <f>_xlfn.COUNTIFS('別紙2-1出動実績報告表'!$O:$O,3,'別紙2-1出動実績報告表'!$P:$P,2,'別紙2-1出動実績報告表'!$Q:$Q,2,'別紙2-1出動実績報告表'!$R:$R,9,'別紙2-1出動実績報告表'!$S:$S,4)</f>
        <v>0</v>
      </c>
      <c r="L40" s="95">
        <f>_xlfn.COUNTIFS('別紙2-1出動実績報告表'!$O:$O,3,'別紙2-1出動実績報告表'!$P:$P,3,'別紙2-1出動実績報告表'!$Q:$Q,2,'別紙2-1出動実績報告表'!$R:$R,9,'別紙2-1出動実績報告表'!$S:$S,4)</f>
        <v>0</v>
      </c>
      <c r="M40" s="95">
        <f>_xlfn.COUNTIFS('別紙2-1出動実績報告表'!$O:$O,4,'別紙2-1出動実績報告表'!$P:$P,1,'別紙2-1出動実績報告表'!$Q:$Q,2,'別紙2-1出動実績報告表'!$R:$R,9,'別紙2-1出動実績報告表'!$S:$S,4)</f>
        <v>0</v>
      </c>
      <c r="N40" s="95">
        <f>_xlfn.COUNTIFS('別紙2-1出動実績報告表'!$O:$O,4,'別紙2-1出動実績報告表'!$P:$P,2,'別紙2-1出動実績報告表'!$Q:$Q,2,'別紙2-1出動実績報告表'!$R:$R,9,'別紙2-1出動実績報告表'!$S:$S,4)</f>
        <v>0</v>
      </c>
      <c r="O40" s="95">
        <f>_xlfn.COUNTIFS('別紙2-1出動実績報告表'!$O:$O,4,'別紙2-1出動実績報告表'!$P:$P,3,'別紙2-1出動実績報告表'!$Q:$Q,2,'別紙2-1出動実績報告表'!$R:$R,9,'別紙2-1出動実績報告表'!$S:$S,4)</f>
        <v>0</v>
      </c>
      <c r="P40" s="95">
        <f>_xlfn.COUNTIFS('別紙2-1出動実績報告表'!$O:$O,4,'別紙2-1出動実績報告表'!$P:$P,4,'別紙2-1出動実績報告表'!$Q:$Q,2,'別紙2-1出動実績報告表'!$R:$R,9,'別紙2-1出動実績報告表'!$S:$S,4)</f>
        <v>0</v>
      </c>
      <c r="Q40" s="95">
        <f>_xlfn.COUNTIFS('別紙2-1出動実績報告表'!$O:$O,5,'別紙2-1出動実績報告表'!$P:$P,1,'別紙2-1出動実績報告表'!$Q:$Q,2,'別紙2-1出動実績報告表'!$R:$R,9,'別紙2-1出動実績報告表'!$S:$S,4)</f>
        <v>0</v>
      </c>
      <c r="R40" s="95">
        <f>_xlfn.COUNTIFS('別紙2-1出動実績報告表'!$O:$O,9,'別紙2-1出動実績報告表'!$P:$P,9,'別紙2-1出動実績報告表'!$Q:$Q,2,'別紙2-1出動実績報告表'!$R:$R,9,'別紙2-1出動実績報告表'!$S:$S,4)</f>
        <v>0</v>
      </c>
      <c r="S40" s="95">
        <f>_xlfn.COUNTIFS('別紙2-1出動実績報告表'!$O:$O,0,'別紙2-1出動実績報告表'!$P:$P,0,'別紙2-1出動実績報告表'!$Q:$Q,2,'別紙2-1出動実績報告表'!$R:$R,9,'別紙2-1出動実績報告表'!$S:$S,4)</f>
        <v>0</v>
      </c>
      <c r="T40" s="95">
        <f t="shared" si="0"/>
        <v>0</v>
      </c>
      <c r="U40" s="96"/>
    </row>
    <row r="41" spans="1:21" ht="15" customHeight="1">
      <c r="A41" s="97"/>
      <c r="B41" s="90"/>
      <c r="C41" s="94"/>
      <c r="D41" s="98" t="s">
        <v>162</v>
      </c>
      <c r="E41" s="95">
        <f>_xlfn.COUNTIFS('別紙2-1出動実績報告表'!$O:$O,1,'別紙2-1出動実績報告表'!$P:$P,1,'別紙2-1出動実績報告表'!$Q:$Q,2,'別紙2-1出動実績報告表'!$R:$R,9,'別紙2-1出動実績報告表'!$S:$S,9)</f>
        <v>0</v>
      </c>
      <c r="F41" s="95">
        <f>_xlfn.COUNTIFS('別紙2-1出動実績報告表'!$O:$O,1,'別紙2-1出動実績報告表'!$P:$P,2,'別紙2-1出動実績報告表'!$Q:$Q,2,'別紙2-1出動実績報告表'!$R:$R,9,'別紙2-1出動実績報告表'!$S:$S,9)</f>
        <v>0</v>
      </c>
      <c r="G41" s="95">
        <f>_xlfn.COUNTIFS('別紙2-1出動実績報告表'!$O:$O,1,'別紙2-1出動実績報告表'!$P:$P,3,'別紙2-1出動実績報告表'!$Q:$Q,2,'別紙2-1出動実績報告表'!$R:$R,9,'別紙2-1出動実績報告表'!$S:$S,9)</f>
        <v>0</v>
      </c>
      <c r="H41" s="95">
        <f>_xlfn.COUNTIFS('別紙2-1出動実績報告表'!$O:$O,2,'別紙2-1出動実績報告表'!$P:$P,1,'別紙2-1出動実績報告表'!$Q:$Q,2,'別紙2-1出動実績報告表'!$R:$R,9,'別紙2-1出動実績報告表'!$S:$S,9)</f>
        <v>0</v>
      </c>
      <c r="I41" s="95">
        <f>_xlfn.COUNTIFS('別紙2-1出動実績報告表'!$O:$O,2,'別紙2-1出動実績報告表'!$P:$P,2,'別紙2-1出動実績報告表'!$Q:$Q,2,'別紙2-1出動実績報告表'!$R:$R,9,'別紙2-1出動実績報告表'!$S:$S,9)</f>
        <v>0</v>
      </c>
      <c r="J41" s="95">
        <f>_xlfn.COUNTIFS('別紙2-1出動実績報告表'!$O:$O,3,'別紙2-1出動実績報告表'!$P:$P,1,'別紙2-1出動実績報告表'!$Q:$Q,2,'別紙2-1出動実績報告表'!$R:$R,9,'別紙2-1出動実績報告表'!$S:$S,9)</f>
        <v>0</v>
      </c>
      <c r="K41" s="95">
        <f>_xlfn.COUNTIFS('別紙2-1出動実績報告表'!$O:$O,3,'別紙2-1出動実績報告表'!$P:$P,2,'別紙2-1出動実績報告表'!$Q:$Q,2,'別紙2-1出動実績報告表'!$R:$R,9,'別紙2-1出動実績報告表'!$S:$S,9)</f>
        <v>0</v>
      </c>
      <c r="L41" s="95">
        <f>_xlfn.COUNTIFS('別紙2-1出動実績報告表'!$O:$O,3,'別紙2-1出動実績報告表'!$P:$P,3,'別紙2-1出動実績報告表'!$Q:$Q,2,'別紙2-1出動実績報告表'!$R:$R,9,'別紙2-1出動実績報告表'!$S:$S,9)</f>
        <v>0</v>
      </c>
      <c r="M41" s="95">
        <f>_xlfn.COUNTIFS('別紙2-1出動実績報告表'!$O:$O,4,'別紙2-1出動実績報告表'!$P:$P,1,'別紙2-1出動実績報告表'!$Q:$Q,2,'別紙2-1出動実績報告表'!$R:$R,9,'別紙2-1出動実績報告表'!$S:$S,9)</f>
        <v>0</v>
      </c>
      <c r="N41" s="95">
        <f>_xlfn.COUNTIFS('別紙2-1出動実績報告表'!$O:$O,4,'別紙2-1出動実績報告表'!$P:$P,2,'別紙2-1出動実績報告表'!$Q:$Q,2,'別紙2-1出動実績報告表'!$R:$R,9,'別紙2-1出動実績報告表'!$S:$S,9)</f>
        <v>0</v>
      </c>
      <c r="O41" s="95">
        <f>_xlfn.COUNTIFS('別紙2-1出動実績報告表'!$O:$O,4,'別紙2-1出動実績報告表'!$P:$P,3,'別紙2-1出動実績報告表'!$Q:$Q,2,'別紙2-1出動実績報告表'!$R:$R,9,'別紙2-1出動実績報告表'!$S:$S,9)</f>
        <v>0</v>
      </c>
      <c r="P41" s="95">
        <f>_xlfn.COUNTIFS('別紙2-1出動実績報告表'!$O:$O,4,'別紙2-1出動実績報告表'!$P:$P,4,'別紙2-1出動実績報告表'!$Q:$Q,2,'別紙2-1出動実績報告表'!$R:$R,9,'別紙2-1出動実績報告表'!$S:$S,9)</f>
        <v>0</v>
      </c>
      <c r="Q41" s="95">
        <f>_xlfn.COUNTIFS('別紙2-1出動実績報告表'!$O:$O,5,'別紙2-1出動実績報告表'!$P:$P,1,'別紙2-1出動実績報告表'!$Q:$Q,2,'別紙2-1出動実績報告表'!$R:$R,9,'別紙2-1出動実績報告表'!$S:$S,9)</f>
        <v>0</v>
      </c>
      <c r="R41" s="95">
        <f>_xlfn.COUNTIFS('別紙2-1出動実績報告表'!$O:$O,9,'別紙2-1出動実績報告表'!$P:$P,9,'別紙2-1出動実績報告表'!$Q:$Q,2,'別紙2-1出動実績報告表'!$R:$R,9,'別紙2-1出動実績報告表'!$S:$S,9)</f>
        <v>0</v>
      </c>
      <c r="S41" s="95">
        <f>_xlfn.COUNTIFS('別紙2-1出動実績報告表'!$O:$O,0,'別紙2-1出動実績報告表'!$P:$P,0,'別紙2-1出動実績報告表'!$Q:$Q,2,'別紙2-1出動実績報告表'!$R:$R,9,'別紙2-1出動実績報告表'!$S:$S,9)</f>
        <v>0</v>
      </c>
      <c r="T41" s="95">
        <f t="shared" si="0"/>
        <v>0</v>
      </c>
      <c r="U41" s="96"/>
    </row>
    <row r="42" spans="1:21" ht="15" customHeight="1">
      <c r="A42" s="97"/>
      <c r="B42" s="141" t="s">
        <v>206</v>
      </c>
      <c r="C42" s="142"/>
      <c r="D42" s="98" t="s">
        <v>136</v>
      </c>
      <c r="E42" s="95">
        <f>SUM(E11:E41)</f>
        <v>0</v>
      </c>
      <c r="F42" s="95">
        <f>SUM(F11:F41)</f>
        <v>0</v>
      </c>
      <c r="G42" s="95">
        <f aca="true" t="shared" si="1" ref="G42:S42">SUM(G11:G41)</f>
        <v>0</v>
      </c>
      <c r="H42" s="95">
        <f t="shared" si="1"/>
        <v>0</v>
      </c>
      <c r="I42" s="95">
        <f t="shared" si="1"/>
        <v>0</v>
      </c>
      <c r="J42" s="95">
        <f t="shared" si="1"/>
        <v>0</v>
      </c>
      <c r="K42" s="95">
        <f t="shared" si="1"/>
        <v>0</v>
      </c>
      <c r="L42" s="95">
        <f t="shared" si="1"/>
        <v>0</v>
      </c>
      <c r="M42" s="95">
        <f t="shared" si="1"/>
        <v>0</v>
      </c>
      <c r="N42" s="95">
        <f t="shared" si="1"/>
        <v>0</v>
      </c>
      <c r="O42" s="95">
        <f t="shared" si="1"/>
        <v>0</v>
      </c>
      <c r="P42" s="95">
        <f t="shared" si="1"/>
        <v>0</v>
      </c>
      <c r="Q42" s="95">
        <f t="shared" si="1"/>
        <v>0</v>
      </c>
      <c r="R42" s="95">
        <f t="shared" si="1"/>
        <v>0</v>
      </c>
      <c r="S42" s="95">
        <f t="shared" si="1"/>
        <v>0</v>
      </c>
      <c r="T42" s="95">
        <f>SUM(E42:S42)</f>
        <v>0</v>
      </c>
      <c r="U42" s="96"/>
    </row>
    <row r="43" spans="1:21" ht="15" customHeight="1" thickBot="1">
      <c r="A43" s="103"/>
      <c r="B43" s="104"/>
      <c r="C43" s="105"/>
      <c r="D43" s="106" t="s">
        <v>207</v>
      </c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8"/>
    </row>
    <row r="44" spans="1:21" ht="15" thickTop="1">
      <c r="A44" s="97" t="s">
        <v>208</v>
      </c>
      <c r="B44" s="143" t="s">
        <v>209</v>
      </c>
      <c r="C44" s="144"/>
      <c r="D44" s="94" t="s">
        <v>136</v>
      </c>
      <c r="E44" s="95">
        <f>_xlfn.COUNTIFS('別紙2-1出動実績報告表'!$O:$O,1,'別紙2-1出動実績報告表'!$P:$P,1,'別紙2-1出動実績報告表'!$M:$M,1)</f>
        <v>0</v>
      </c>
      <c r="F44" s="95">
        <f>_xlfn.COUNTIFS('別紙2-1出動実績報告表'!$O:$O,1,'別紙2-1出動実績報告表'!$P:$P,2,'別紙2-1出動実績報告表'!$M:$M,1)</f>
        <v>0</v>
      </c>
      <c r="G44" s="95">
        <f>_xlfn.COUNTIFS('別紙2-1出動実績報告表'!$O:$O,1,'別紙2-1出動実績報告表'!$P:$P,3,'別紙2-1出動実績報告表'!$M:$M,1)</f>
        <v>0</v>
      </c>
      <c r="H44" s="95">
        <f>_xlfn.COUNTIFS('別紙2-1出動実績報告表'!$O:$O,2,'別紙2-1出動実績報告表'!$P:$P,1,'別紙2-1出動実績報告表'!$M:$M,1)</f>
        <v>0</v>
      </c>
      <c r="I44" s="95">
        <f>_xlfn.COUNTIFS('別紙2-1出動実績報告表'!$O:$O,2,'別紙2-1出動実績報告表'!$P:$P,2,'別紙2-1出動実績報告表'!$M:$M,1)</f>
        <v>0</v>
      </c>
      <c r="J44" s="95">
        <f>_xlfn.COUNTIFS('別紙2-1出動実績報告表'!$O:$O,3,'別紙2-1出動実績報告表'!$P:$P,1,'別紙2-1出動実績報告表'!$M:$M,1)</f>
        <v>0</v>
      </c>
      <c r="K44" s="95">
        <f>_xlfn.COUNTIFS('別紙2-1出動実績報告表'!$O:$O,3,'別紙2-1出動実績報告表'!$P:$P,2,'別紙2-1出動実績報告表'!$M:$M,1)</f>
        <v>0</v>
      </c>
      <c r="L44" s="95">
        <f>_xlfn.COUNTIFS('別紙2-1出動実績報告表'!$O:$O,3,'別紙2-1出動実績報告表'!$P:$P,3,'別紙2-1出動実績報告表'!$M:$M,1)</f>
        <v>0</v>
      </c>
      <c r="M44" s="95">
        <f>_xlfn.COUNTIFS('別紙2-1出動実績報告表'!$O:$O,4,'別紙2-1出動実績報告表'!$P:$P,1,'別紙2-1出動実績報告表'!$M:$M,1)</f>
        <v>0</v>
      </c>
      <c r="N44" s="95">
        <f>_xlfn.COUNTIFS('別紙2-1出動実績報告表'!$O:$O,4,'別紙2-1出動実績報告表'!$P:$P,2,'別紙2-1出動実績報告表'!$M:$M,1)</f>
        <v>0</v>
      </c>
      <c r="O44" s="95">
        <f>_xlfn.COUNTIFS('別紙2-1出動実績報告表'!$O:$O,4,'別紙2-1出動実績報告表'!$P:$P,3,'別紙2-1出動実績報告表'!$M:$M,1)</f>
        <v>0</v>
      </c>
      <c r="P44" s="95">
        <f>_xlfn.COUNTIFS('別紙2-1出動実績報告表'!$O:$O,4,'別紙2-1出動実績報告表'!$P:$P,4,'別紙2-1出動実績報告表'!$M:$M,1)</f>
        <v>0</v>
      </c>
      <c r="Q44" s="95">
        <f>_xlfn.COUNTIFS('別紙2-1出動実績報告表'!$O:$O,5,'別紙2-1出動実績報告表'!$P:$P,1,'別紙2-1出動実績報告表'!$M:$M,1)</f>
        <v>0</v>
      </c>
      <c r="R44" s="95">
        <f>_xlfn.COUNTIFS('別紙2-1出動実績報告表'!$O:$O,9,'別紙2-1出動実績報告表'!$P:$P,9,'別紙2-1出動実績報告表'!$M:$M,1)</f>
        <v>0</v>
      </c>
      <c r="S44" s="95">
        <f>_xlfn.COUNTIFS('別紙2-1出動実績報告表'!$O:$O,0,'別紙2-1出動実績報告表'!$P:$P,0,'別紙2-1出動実績報告表'!$M:$M,1)</f>
        <v>0</v>
      </c>
      <c r="T44" s="109">
        <f>SUM(E44:S44)</f>
        <v>0</v>
      </c>
      <c r="U44" s="110"/>
    </row>
    <row r="45" spans="1:21" ht="15" thickBot="1">
      <c r="A45" s="103" t="s">
        <v>180</v>
      </c>
      <c r="B45" s="104"/>
      <c r="C45" s="105"/>
      <c r="D45" s="106" t="s">
        <v>207</v>
      </c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8"/>
    </row>
    <row r="46" spans="1:21" ht="15" thickTop="1">
      <c r="A46" s="145" t="s">
        <v>210</v>
      </c>
      <c r="B46" s="146"/>
      <c r="C46" s="147"/>
      <c r="D46" s="111" t="s">
        <v>136</v>
      </c>
      <c r="E46" s="109">
        <f>SUM(E42,E44)</f>
        <v>0</v>
      </c>
      <c r="F46" s="109">
        <f aca="true" t="shared" si="2" ref="F46:T46">SUM(F42,F44)</f>
        <v>0</v>
      </c>
      <c r="G46" s="109">
        <f t="shared" si="2"/>
        <v>0</v>
      </c>
      <c r="H46" s="109">
        <f t="shared" si="2"/>
        <v>0</v>
      </c>
      <c r="I46" s="109">
        <f t="shared" si="2"/>
        <v>0</v>
      </c>
      <c r="J46" s="109">
        <f t="shared" si="2"/>
        <v>0</v>
      </c>
      <c r="K46" s="109">
        <f t="shared" si="2"/>
        <v>0</v>
      </c>
      <c r="L46" s="109">
        <f t="shared" si="2"/>
        <v>0</v>
      </c>
      <c r="M46" s="109">
        <f t="shared" si="2"/>
        <v>0</v>
      </c>
      <c r="N46" s="109">
        <f t="shared" si="2"/>
        <v>0</v>
      </c>
      <c r="O46" s="109">
        <f t="shared" si="2"/>
        <v>0</v>
      </c>
      <c r="P46" s="109">
        <f t="shared" si="2"/>
        <v>0</v>
      </c>
      <c r="Q46" s="109">
        <f t="shared" si="2"/>
        <v>0</v>
      </c>
      <c r="R46" s="109">
        <f t="shared" si="2"/>
        <v>0</v>
      </c>
      <c r="S46" s="109">
        <f t="shared" si="2"/>
        <v>0</v>
      </c>
      <c r="T46" s="109">
        <f t="shared" si="2"/>
        <v>0</v>
      </c>
      <c r="U46" s="110"/>
    </row>
    <row r="47" spans="1:21" ht="15" thickBot="1">
      <c r="A47" s="148" t="s">
        <v>211</v>
      </c>
      <c r="B47" s="149"/>
      <c r="C47" s="150"/>
      <c r="D47" s="112" t="s">
        <v>207</v>
      </c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8"/>
    </row>
    <row r="48" spans="2:4" ht="14.25" thickTop="1">
      <c r="B48" s="57"/>
      <c r="C48" s="113" t="s">
        <v>212</v>
      </c>
      <c r="D48" s="114" t="s">
        <v>213</v>
      </c>
    </row>
    <row r="49" spans="2:4" ht="13.5">
      <c r="B49" s="57"/>
      <c r="C49" s="113" t="s">
        <v>214</v>
      </c>
      <c r="D49" s="115" t="s">
        <v>215</v>
      </c>
    </row>
    <row r="50" spans="2:4" ht="13.5">
      <c r="B50" s="57"/>
      <c r="C50" s="113" t="s">
        <v>216</v>
      </c>
      <c r="D50" s="115" t="s">
        <v>217</v>
      </c>
    </row>
    <row r="51" spans="2:4" ht="13.5">
      <c r="B51" s="57"/>
      <c r="C51" s="57"/>
      <c r="D51" s="57"/>
    </row>
    <row r="52" spans="2:4" ht="13.5">
      <c r="B52" s="57"/>
      <c r="C52" s="57"/>
      <c r="D52" s="57"/>
    </row>
    <row r="53" spans="2:4" ht="13.5">
      <c r="B53" s="57"/>
      <c r="C53" s="57"/>
      <c r="D53" s="57"/>
    </row>
    <row r="54" spans="2:4" ht="13.5">
      <c r="B54" s="57"/>
      <c r="C54" s="57"/>
      <c r="D54" s="57"/>
    </row>
    <row r="55" spans="2:4" ht="13.5">
      <c r="B55" s="57"/>
      <c r="C55" s="57"/>
      <c r="D55" s="57"/>
    </row>
    <row r="56" spans="2:4" ht="13.5">
      <c r="B56" s="57"/>
      <c r="C56" s="57"/>
      <c r="D56" s="57"/>
    </row>
    <row r="57" spans="2:4" ht="13.5">
      <c r="B57" s="57"/>
      <c r="C57" s="57"/>
      <c r="D57" s="57"/>
    </row>
  </sheetData>
  <sheetProtection/>
  <mergeCells count="5">
    <mergeCell ref="A2:U2"/>
    <mergeCell ref="B42:C42"/>
    <mergeCell ref="B44:C44"/>
    <mergeCell ref="A46:C46"/>
    <mergeCell ref="A47:C47"/>
  </mergeCells>
  <printOptions/>
  <pageMargins left="0.5905511811023623" right="0.5905511811023623" top="0.3937007874015748" bottom="0.1968503937007874" header="0.5118110236220472" footer="0.5118110236220472"/>
  <pageSetup horizontalDpi="400" verticalDpi="4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上松 慎平</dc:creator>
  <cp:keywords/>
  <dc:description/>
  <cp:lastModifiedBy>上松 慎平</cp:lastModifiedBy>
  <cp:lastPrinted>2018-01-26T11:24:27Z</cp:lastPrinted>
  <dcterms:created xsi:type="dcterms:W3CDTF">2017-11-21T08:02:14Z</dcterms:created>
  <dcterms:modified xsi:type="dcterms:W3CDTF">2018-01-26T11:44:25Z</dcterms:modified>
  <cp:category/>
  <cp:version/>
  <cp:contentType/>
  <cp:contentStatus/>
</cp:coreProperties>
</file>